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8705"/>
  <workbookPr autoCompressPictures="0"/>
  <bookViews>
    <workbookView xWindow="940" yWindow="400" windowWidth="25040" windowHeight="15500" tabRatio="850" activeTab="1"/>
  </bookViews>
  <sheets>
    <sheet name="READ_ME" sheetId="15" r:id="rId1"/>
    <sheet name="calcs" sheetId="1" r:id="rId2"/>
    <sheet name="Results=" sheetId="30" r:id="rId3"/>
    <sheet name="Trans_1" sheetId="16" r:id="rId4"/>
    <sheet name="Trans_2" sheetId="18" r:id="rId5"/>
    <sheet name="Trans_3" sheetId="26" r:id="rId6"/>
    <sheet name="Intrans_1" sheetId="21" r:id="rId7"/>
    <sheet name="Intrans_2" sheetId="23" r:id="rId8"/>
    <sheet name="Intrans_3" sheetId="31" r:id="rId9"/>
    <sheet name="iid_1" sheetId="28" r:id="rId10"/>
  </sheets>
  <definedNames>
    <definedName name="Acol_111">calcs!#REF!</definedName>
    <definedName name="Acol_112">calcs!#REF!</definedName>
    <definedName name="Acol_121">calcs!#REF!</definedName>
    <definedName name="Acol_122">calcs!#REF!</definedName>
    <definedName name="Acol_211">calcs!#REF!</definedName>
    <definedName name="Acol_212">calcs!#REF!</definedName>
    <definedName name="Acol_221">calcs!#REF!</definedName>
    <definedName name="Acol_222">calcs!#REF!</definedName>
    <definedName name="APcol_111">calcs!#REF!</definedName>
    <definedName name="APcol_112">calcs!#REF!</definedName>
    <definedName name="APcol_121">calcs!#REF!</definedName>
    <definedName name="APcol_122">calcs!#REF!</definedName>
    <definedName name="APcol_211">calcs!#REF!</definedName>
    <definedName name="APcol_212">calcs!#REF!</definedName>
    <definedName name="APcol_221">calcs!#REF!</definedName>
    <definedName name="APcol_222">calcs!#REF!</definedName>
    <definedName name="AProw_111">calcs!#REF!</definedName>
    <definedName name="AProw_112">calcs!#REF!</definedName>
    <definedName name="AProw_121">calcs!#REF!</definedName>
    <definedName name="AProw_211">calcs!#REF!</definedName>
    <definedName name="AProw_212">calcs!#REF!</definedName>
    <definedName name="AProw_221">calcs!#REF!</definedName>
    <definedName name="AProw_222">calcs!#REF!</definedName>
    <definedName name="AProw122">calcs!#REF!</definedName>
    <definedName name="Arow_111">calcs!#REF!</definedName>
    <definedName name="Arow_112">calcs!#REF!</definedName>
    <definedName name="Arow_121">calcs!#REF!</definedName>
    <definedName name="Arow_122">calcs!#REF!</definedName>
    <definedName name="Arow_211">calcs!#REF!</definedName>
    <definedName name="Arow_212">calcs!#REF!</definedName>
    <definedName name="Arow_221">calcs!#REF!</definedName>
    <definedName name="Arow_222">calcs!#REF!</definedName>
    <definedName name="COL__">calcs!$P$61:$W$61</definedName>
    <definedName name="col_111">calcs!$D$13:$K$13</definedName>
    <definedName name="col_112">calcs!$D$24:$K$24</definedName>
    <definedName name="col_121">calcs!$D$35:$K$35</definedName>
    <definedName name="col_122">calcs!$D$46:$K$46</definedName>
    <definedName name="col_211">calcs!$D$57:$K$57</definedName>
    <definedName name="col_212">calcs!$D$68:$K$68</definedName>
    <definedName name="col_221">calcs!$D$79:$K$79</definedName>
    <definedName name="col_222">calcs!$D$90:$K$90</definedName>
    <definedName name="col_I">calcs!$O$24:$V$24</definedName>
    <definedName name="col_MR">calcs!#REF!</definedName>
    <definedName name="col_R">calcs!#REF!</definedName>
    <definedName name="e1_">calcs!$A$2</definedName>
    <definedName name="e2_">calcs!$B$2</definedName>
    <definedName name="e3_">calcs!$C$2</definedName>
    <definedName name="ep1_">calcs!$B$6</definedName>
    <definedName name="ep2_">calcs!$B$7</definedName>
    <definedName name="ep3_">calcs!$B$8</definedName>
    <definedName name="p_111">calcs!$D$2</definedName>
    <definedName name="p_112">calcs!$E$2</definedName>
    <definedName name="p_121">calcs!$F$2</definedName>
    <definedName name="p_122">calcs!$G$2</definedName>
    <definedName name="p_211">calcs!$H$2</definedName>
    <definedName name="p_212">calcs!$I$2</definedName>
    <definedName name="p_221">calcs!$J$2</definedName>
    <definedName name="p_222">calcs!$K$2</definedName>
    <definedName name="p_MR">calcs!$A$11</definedName>
    <definedName name="p_R">calcs!$B$11</definedName>
    <definedName name="ROW__">calcs!$O$62:$O$69</definedName>
    <definedName name="row_111">calcs!$B$15:$B$22</definedName>
    <definedName name="row_112">calcs!$B$26:$B$33</definedName>
    <definedName name="row_121">calcs!$B$37:$B$44</definedName>
    <definedName name="row_122">calcs!$B$48:$B$55</definedName>
    <definedName name="row_211">calcs!$B$59:$B$66</definedName>
    <definedName name="row_212">calcs!$B$70:$B$77</definedName>
    <definedName name="row_221">calcs!$B$81:$B$88</definedName>
    <definedName name="row_222">calcs!$B$92:$B$99</definedName>
    <definedName name="row_I">calcs!$M$26:$M$33</definedName>
    <definedName name="row_MR">calcs!#REF!</definedName>
    <definedName name="row_R">calcs!#REF!</definedName>
    <definedName name="solver_adj" localSheetId="1" hidden="1">calcs!$A$2:$K$2</definedName>
    <definedName name="solver_cvg" localSheetId="1" hidden="1">0.0001</definedName>
    <definedName name="solver_drv" localSheetId="1" hidden="1">1</definedName>
    <definedName name="solver_eng" localSheetId="1" hidden="1">1</definedName>
    <definedName name="solver_eng" localSheetId="8" hidden="1">1</definedName>
    <definedName name="solver_est" localSheetId="1" hidden="1">1</definedName>
    <definedName name="solver_itr" localSheetId="1" hidden="1">2147483647</definedName>
    <definedName name="solver_lhs1" localSheetId="1" hidden="1">calcs!$L$2</definedName>
    <definedName name="solver_lhs10" localSheetId="1" hidden="1">calcs!$B$8</definedName>
    <definedName name="solver_lhs11" localSheetId="1" hidden="1">calcs!$D$2</definedName>
    <definedName name="solver_lhs12" localSheetId="1" hidden="1">calcs!$E$2</definedName>
    <definedName name="solver_lhs13" localSheetId="1" hidden="1">calcs!$F$2</definedName>
    <definedName name="solver_lhs14" localSheetId="1" hidden="1">calcs!$G$2</definedName>
    <definedName name="solver_lhs15" localSheetId="1" hidden="1">calcs!$H$2</definedName>
    <definedName name="solver_lhs16" localSheetId="1" hidden="1">calcs!$I$2</definedName>
    <definedName name="solver_lhs17" localSheetId="1" hidden="1">calcs!$J$2</definedName>
    <definedName name="solver_lhs18" localSheetId="1" hidden="1">calcs!$K$2</definedName>
    <definedName name="solver_lhs19" localSheetId="1" hidden="1">calcs!$A$11</definedName>
    <definedName name="solver_lhs2" localSheetId="1" hidden="1">calcs!$A$2</definedName>
    <definedName name="solver_lhs20" localSheetId="1" hidden="1">calcs!$B$11</definedName>
    <definedName name="solver_lhs21" localSheetId="1" hidden="1">calcs!$B$11</definedName>
    <definedName name="solver_lhs22" localSheetId="1" hidden="1">calcs!$B$11</definedName>
    <definedName name="solver_lhs23" localSheetId="1" hidden="1">calcs!$B$11</definedName>
    <definedName name="solver_lhs3" localSheetId="1" hidden="1">calcs!$A$2</definedName>
    <definedName name="solver_lhs4" localSheetId="1" hidden="1">calcs!$B$2</definedName>
    <definedName name="solver_lhs5" localSheetId="1" hidden="1">calcs!$B$2</definedName>
    <definedName name="solver_lhs6" localSheetId="1" hidden="1">calcs!$C$2</definedName>
    <definedName name="solver_lhs7" localSheetId="1" hidden="1">calcs!$C$2</definedName>
    <definedName name="solver_lhs8" localSheetId="1" hidden="1">calcs!$B$6</definedName>
    <definedName name="solver_lhs9" localSheetId="1" hidden="1">calcs!$B$7</definedName>
    <definedName name="solver_lin" localSheetId="1" hidden="1">2</definedName>
    <definedName name="solver_lin" localSheetId="8" hidden="1">2</definedName>
    <definedName name="solver_mip" localSheetId="1" hidden="1">2147483647</definedName>
    <definedName name="solver_mni" localSheetId="1" hidden="1">30</definedName>
    <definedName name="solver_mrt" localSheetId="1" hidden="1">0.075</definedName>
    <definedName name="solver_msl" localSheetId="1" hidden="1">2</definedName>
    <definedName name="solver_neg" localSheetId="1" hidden="1">1</definedName>
    <definedName name="solver_neg" localSheetId="8" hidden="1">1</definedName>
    <definedName name="solver_nod" localSheetId="1" hidden="1">2147483647</definedName>
    <definedName name="solver_num" localSheetId="1" hidden="1">20</definedName>
    <definedName name="solver_num" localSheetId="8" hidden="1">0</definedName>
    <definedName name="solver_nwt" localSheetId="1" hidden="1">1</definedName>
    <definedName name="solver_opt" localSheetId="1" hidden="1">calcs!$B$3</definedName>
    <definedName name="solver_opt" localSheetId="8" hidden="1">Intrans_3!$B$3</definedName>
    <definedName name="solver_pre" localSheetId="1" hidden="1">0.000001</definedName>
    <definedName name="solver_rbv" localSheetId="1" hidden="1">1</definedName>
    <definedName name="solver_rel1" localSheetId="1" hidden="1">2</definedName>
    <definedName name="solver_rel10" localSheetId="1" hidden="1">3</definedName>
    <definedName name="solver_rel11" localSheetId="1" hidden="1">3</definedName>
    <definedName name="solver_rel12" localSheetId="1" hidden="1">3</definedName>
    <definedName name="solver_rel13" localSheetId="1" hidden="1">3</definedName>
    <definedName name="solver_rel14" localSheetId="1" hidden="1">3</definedName>
    <definedName name="solver_rel15" localSheetId="1" hidden="1">3</definedName>
    <definedName name="solver_rel16" localSheetId="1" hidden="1">3</definedName>
    <definedName name="solver_rel17" localSheetId="1" hidden="1">3</definedName>
    <definedName name="solver_rel18" localSheetId="1" hidden="1">3</definedName>
    <definedName name="solver_rel19" localSheetId="1" hidden="1">3</definedName>
    <definedName name="solver_rel2" localSheetId="1" hidden="1">1</definedName>
    <definedName name="solver_rel20" localSheetId="1" hidden="1">3</definedName>
    <definedName name="solver_rel21" localSheetId="1" hidden="1">3</definedName>
    <definedName name="solver_rel22" localSheetId="1" hidden="1">3</definedName>
    <definedName name="solver_rel23" localSheetId="1" hidden="1">3</definedName>
    <definedName name="solver_rel3" localSheetId="1" hidden="1">3</definedName>
    <definedName name="solver_rel4" localSheetId="1" hidden="1">1</definedName>
    <definedName name="solver_rel5" localSheetId="1" hidden="1">3</definedName>
    <definedName name="solver_rel6" localSheetId="1" hidden="1">1</definedName>
    <definedName name="solver_rel7" localSheetId="1" hidden="1">3</definedName>
    <definedName name="solver_rel8" localSheetId="1" hidden="1">3</definedName>
    <definedName name="solver_rel9" localSheetId="1" hidden="1">3</definedName>
    <definedName name="solver_rhs1" localSheetId="1" hidden="1">1</definedName>
    <definedName name="solver_rhs10" localSheetId="1" hidden="1">0</definedName>
    <definedName name="solver_rhs11" localSheetId="1" hidden="1">0</definedName>
    <definedName name="solver_rhs12" localSheetId="1" hidden="1">0</definedName>
    <definedName name="solver_rhs13" localSheetId="1" hidden="1">0</definedName>
    <definedName name="solver_rhs14" localSheetId="1" hidden="1">0</definedName>
    <definedName name="solver_rhs15" localSheetId="1" hidden="1">0</definedName>
    <definedName name="solver_rhs16" localSheetId="1" hidden="1">0</definedName>
    <definedName name="solver_rhs17" localSheetId="1" hidden="1">0</definedName>
    <definedName name="solver_rhs18" localSheetId="1" hidden="1">0</definedName>
    <definedName name="solver_rhs19" localSheetId="1" hidden="1">0</definedName>
    <definedName name="solver_rhs2" localSheetId="1" hidden="1">0.5</definedName>
    <definedName name="solver_rhs20" localSheetId="1" hidden="1">0</definedName>
    <definedName name="solver_rhs21" localSheetId="1" hidden="1">0</definedName>
    <definedName name="solver_rhs22" localSheetId="1" hidden="1">0</definedName>
    <definedName name="solver_rhs23" localSheetId="1" hidden="1">0</definedName>
    <definedName name="solver_rhs3" localSheetId="1" hidden="1">0</definedName>
    <definedName name="solver_rhs4" localSheetId="1" hidden="1">0.5</definedName>
    <definedName name="solver_rhs5" localSheetId="1" hidden="1">0</definedName>
    <definedName name="solver_rhs6" localSheetId="1" hidden="1">0.5</definedName>
    <definedName name="solver_rhs7" localSheetId="1" hidden="1">0</definedName>
    <definedName name="solver_rhs8" localSheetId="1" hidden="1">0</definedName>
    <definedName name="solver_rhs9" localSheetId="1" hidden="1">0</definedName>
    <definedName name="solver_rlx" localSheetId="1" hidden="1">2</definedName>
    <definedName name="solver_rsd" localSheetId="1" hidden="1">0</definedName>
    <definedName name="solver_scl" localSheetId="1" hidden="1">1</definedName>
    <definedName name="solver_sho" localSheetId="1" hidden="1">2</definedName>
    <definedName name="solver_ssz" localSheetId="1" hidden="1">100</definedName>
    <definedName name="solver_tim" localSheetId="1" hidden="1">2147483647</definedName>
    <definedName name="solver_tol" localSheetId="1" hidden="1">0.01</definedName>
    <definedName name="solver_typ" localSheetId="1" hidden="1">2</definedName>
    <definedName name="solver_typ" localSheetId="8" hidden="1">1</definedName>
    <definedName name="solver_val" localSheetId="1" hidden="1">0</definedName>
    <definedName name="solver_val" localSheetId="8" hidden="1">0</definedName>
    <definedName name="solver_ver" localSheetId="1" hidden="1">2</definedName>
    <definedName name="solver_ver" localSheetId="8" hidden="1">2</definedName>
  </definedNam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W83" i="1" l="1"/>
  <c r="L4" i="1"/>
  <c r="O62" i="1"/>
  <c r="D12" i="1"/>
  <c r="P61" i="1"/>
  <c r="L5" i="1"/>
  <c r="O63" i="1"/>
  <c r="L6" i="1"/>
  <c r="O64" i="1"/>
  <c r="L7" i="1"/>
  <c r="O65" i="1"/>
  <c r="L8" i="1"/>
  <c r="O66" i="1"/>
  <c r="L9" i="1"/>
  <c r="O67" i="1"/>
  <c r="L10" i="1"/>
  <c r="O68" i="1"/>
  <c r="L11" i="1"/>
  <c r="O69" i="1"/>
  <c r="O70" i="1"/>
  <c r="P62" i="1"/>
  <c r="P73" i="1"/>
  <c r="E12" i="1"/>
  <c r="Q61" i="1"/>
  <c r="Q62" i="1"/>
  <c r="Q73" i="1"/>
  <c r="F12" i="1"/>
  <c r="R61" i="1"/>
  <c r="R62" i="1"/>
  <c r="R73" i="1"/>
  <c r="G12" i="1"/>
  <c r="S61" i="1"/>
  <c r="S62" i="1"/>
  <c r="S73" i="1"/>
  <c r="H12" i="1"/>
  <c r="T61" i="1"/>
  <c r="T62" i="1"/>
  <c r="T73" i="1"/>
  <c r="I12" i="1"/>
  <c r="U61" i="1"/>
  <c r="U62" i="1"/>
  <c r="U73" i="1"/>
  <c r="J12" i="1"/>
  <c r="V61" i="1"/>
  <c r="V62" i="1"/>
  <c r="V73" i="1"/>
  <c r="K12" i="1"/>
  <c r="W61" i="1"/>
  <c r="W62" i="1"/>
  <c r="W73" i="1"/>
  <c r="X73" i="1"/>
  <c r="P63" i="1"/>
  <c r="P74" i="1"/>
  <c r="Q63" i="1"/>
  <c r="Q74" i="1"/>
  <c r="R63" i="1"/>
  <c r="R74" i="1"/>
  <c r="S63" i="1"/>
  <c r="S74" i="1"/>
  <c r="T63" i="1"/>
  <c r="T74" i="1"/>
  <c r="U63" i="1"/>
  <c r="U74" i="1"/>
  <c r="V63" i="1"/>
  <c r="V74" i="1"/>
  <c r="W63" i="1"/>
  <c r="W74" i="1"/>
  <c r="X74" i="1"/>
  <c r="P64" i="1"/>
  <c r="P75" i="1"/>
  <c r="Q64" i="1"/>
  <c r="Q75" i="1"/>
  <c r="R64" i="1"/>
  <c r="R75" i="1"/>
  <c r="S64" i="1"/>
  <c r="S75" i="1"/>
  <c r="T64" i="1"/>
  <c r="T75" i="1"/>
  <c r="U64" i="1"/>
  <c r="U75" i="1"/>
  <c r="V64" i="1"/>
  <c r="V75" i="1"/>
  <c r="W64" i="1"/>
  <c r="W75" i="1"/>
  <c r="X75" i="1"/>
  <c r="P65" i="1"/>
  <c r="P76" i="1"/>
  <c r="Q65" i="1"/>
  <c r="Q76" i="1"/>
  <c r="R65" i="1"/>
  <c r="R76" i="1"/>
  <c r="S65" i="1"/>
  <c r="S76" i="1"/>
  <c r="T65" i="1"/>
  <c r="T76" i="1"/>
  <c r="U65" i="1"/>
  <c r="U76" i="1"/>
  <c r="V65" i="1"/>
  <c r="V76" i="1"/>
  <c r="W65" i="1"/>
  <c r="W76" i="1"/>
  <c r="X76" i="1"/>
  <c r="P66" i="1"/>
  <c r="P77" i="1"/>
  <c r="Q66" i="1"/>
  <c r="Q77" i="1"/>
  <c r="R66" i="1"/>
  <c r="R77" i="1"/>
  <c r="S66" i="1"/>
  <c r="S77" i="1"/>
  <c r="T66" i="1"/>
  <c r="T77" i="1"/>
  <c r="U66" i="1"/>
  <c r="U77" i="1"/>
  <c r="V66" i="1"/>
  <c r="V77" i="1"/>
  <c r="W66" i="1"/>
  <c r="W77" i="1"/>
  <c r="X77" i="1"/>
  <c r="P67" i="1"/>
  <c r="P78" i="1"/>
  <c r="Q67" i="1"/>
  <c r="Q78" i="1"/>
  <c r="R67" i="1"/>
  <c r="R78" i="1"/>
  <c r="S67" i="1"/>
  <c r="S78" i="1"/>
  <c r="T67" i="1"/>
  <c r="T78" i="1"/>
  <c r="U67" i="1"/>
  <c r="U78" i="1"/>
  <c r="V67" i="1"/>
  <c r="V78" i="1"/>
  <c r="W67" i="1"/>
  <c r="W78" i="1"/>
  <c r="X78" i="1"/>
  <c r="P68" i="1"/>
  <c r="P79" i="1"/>
  <c r="Q68" i="1"/>
  <c r="Q79" i="1"/>
  <c r="R68" i="1"/>
  <c r="R79" i="1"/>
  <c r="S68" i="1"/>
  <c r="S79" i="1"/>
  <c r="T68" i="1"/>
  <c r="T79" i="1"/>
  <c r="U68" i="1"/>
  <c r="U79" i="1"/>
  <c r="V68" i="1"/>
  <c r="V79" i="1"/>
  <c r="W68" i="1"/>
  <c r="W79" i="1"/>
  <c r="X79" i="1"/>
  <c r="P69" i="1"/>
  <c r="P80" i="1"/>
  <c r="Q69" i="1"/>
  <c r="Q80" i="1"/>
  <c r="R69" i="1"/>
  <c r="R80" i="1"/>
  <c r="S69" i="1"/>
  <c r="S80" i="1"/>
  <c r="T69" i="1"/>
  <c r="T80" i="1"/>
  <c r="U69" i="1"/>
  <c r="U80" i="1"/>
  <c r="V69" i="1"/>
  <c r="V80" i="1"/>
  <c r="W69" i="1"/>
  <c r="W80" i="1"/>
  <c r="X80" i="1"/>
  <c r="X81" i="1"/>
  <c r="P17" i="1"/>
  <c r="L12" i="1"/>
  <c r="O3" i="1"/>
  <c r="P3" i="1"/>
  <c r="S3" i="1"/>
  <c r="O4" i="1"/>
  <c r="P4" i="1"/>
  <c r="S4" i="1"/>
  <c r="O2" i="1"/>
  <c r="P2" i="1"/>
  <c r="S2" i="1"/>
  <c r="AA11" i="1"/>
  <c r="AA10" i="1"/>
  <c r="AA9" i="1"/>
  <c r="AA8" i="1"/>
  <c r="AA7" i="1"/>
  <c r="AA6" i="1"/>
  <c r="AA5" i="1"/>
  <c r="B99" i="1"/>
  <c r="B98" i="1"/>
  <c r="B97" i="1"/>
  <c r="B96" i="1"/>
  <c r="B95" i="1"/>
  <c r="B94" i="1"/>
  <c r="B93" i="1"/>
  <c r="B92" i="1"/>
  <c r="B88" i="1"/>
  <c r="B87" i="1"/>
  <c r="B86" i="1"/>
  <c r="B85" i="1"/>
  <c r="B84" i="1"/>
  <c r="B83" i="1"/>
  <c r="B82" i="1"/>
  <c r="B81" i="1"/>
  <c r="B77" i="1"/>
  <c r="B76" i="1"/>
  <c r="B75" i="1"/>
  <c r="B74" i="1"/>
  <c r="B73" i="1"/>
  <c r="B72" i="1"/>
  <c r="B71" i="1"/>
  <c r="B70" i="1"/>
  <c r="B66" i="1"/>
  <c r="B65" i="1"/>
  <c r="B64" i="1"/>
  <c r="B63" i="1"/>
  <c r="B62" i="1"/>
  <c r="B61" i="1"/>
  <c r="B60" i="1"/>
  <c r="B59" i="1"/>
  <c r="B55" i="1"/>
  <c r="B54" i="1"/>
  <c r="B53" i="1"/>
  <c r="B52" i="1"/>
  <c r="B51" i="1"/>
  <c r="B50" i="1"/>
  <c r="B49" i="1"/>
  <c r="B48" i="1"/>
  <c r="B44" i="1"/>
  <c r="B43" i="1"/>
  <c r="B42" i="1"/>
  <c r="B41" i="1"/>
  <c r="B40" i="1"/>
  <c r="B39" i="1"/>
  <c r="B38" i="1"/>
  <c r="B37" i="1"/>
  <c r="B33" i="1"/>
  <c r="B32" i="1"/>
  <c r="B31" i="1"/>
  <c r="B30" i="1"/>
  <c r="B29" i="1"/>
  <c r="B28" i="1"/>
  <c r="B27" i="1"/>
  <c r="B26" i="1"/>
  <c r="B22" i="1"/>
  <c r="B21" i="1"/>
  <c r="B20" i="1"/>
  <c r="B19" i="1"/>
  <c r="B18" i="1"/>
  <c r="B17" i="1"/>
  <c r="B16" i="1"/>
  <c r="B15" i="1"/>
  <c r="O13" i="1"/>
  <c r="N13" i="1"/>
  <c r="O12" i="1"/>
  <c r="N12" i="1"/>
  <c r="O10" i="1"/>
  <c r="N10" i="1"/>
  <c r="O9" i="1"/>
  <c r="N9" i="1"/>
  <c r="O7" i="1"/>
  <c r="N7" i="1"/>
  <c r="O6" i="1"/>
  <c r="N6" i="1"/>
  <c r="AA4" i="1"/>
  <c r="AA12" i="1"/>
  <c r="Z5" i="1"/>
  <c r="AB5" i="1"/>
  <c r="Z6" i="1"/>
  <c r="AB6" i="1"/>
  <c r="Z7" i="1"/>
  <c r="AB7" i="1"/>
  <c r="Z8" i="1"/>
  <c r="AB8" i="1"/>
  <c r="Z9" i="1"/>
  <c r="AB9" i="1"/>
  <c r="Z4" i="1"/>
  <c r="Z10" i="1"/>
  <c r="AB10" i="1"/>
  <c r="Z11" i="1"/>
  <c r="AB11" i="1"/>
  <c r="AB4" i="1"/>
  <c r="Q7" i="1"/>
  <c r="T7" i="1"/>
  <c r="Q6" i="1"/>
  <c r="T6" i="1"/>
  <c r="Z12" i="1"/>
  <c r="AB12" i="1"/>
  <c r="Q10" i="1"/>
  <c r="T10" i="1"/>
  <c r="R13" i="1"/>
  <c r="U13" i="1"/>
  <c r="Q9" i="1"/>
  <c r="T9" i="1"/>
  <c r="Q12" i="1"/>
  <c r="T12" i="1"/>
  <c r="R7" i="1"/>
  <c r="U7" i="1"/>
  <c r="R10" i="1"/>
  <c r="U10" i="1"/>
  <c r="Q13" i="1"/>
  <c r="T13" i="1"/>
  <c r="R6" i="1"/>
  <c r="U6" i="1"/>
  <c r="R9" i="1"/>
  <c r="U9" i="1"/>
  <c r="R12" i="1"/>
  <c r="U12" i="1"/>
  <c r="B8" i="1"/>
  <c r="B7" i="1"/>
  <c r="B6" i="1"/>
  <c r="V6" i="1"/>
  <c r="W6" i="1"/>
  <c r="X6" i="1"/>
  <c r="V9" i="1"/>
  <c r="W9" i="1"/>
  <c r="X9" i="1"/>
  <c r="M33" i="1"/>
  <c r="M32" i="1"/>
  <c r="M31" i="1"/>
  <c r="M30" i="1"/>
  <c r="M29" i="1"/>
  <c r="M28" i="1"/>
  <c r="M27" i="1"/>
  <c r="M26" i="1"/>
  <c r="V12" i="1"/>
  <c r="W12" i="1"/>
  <c r="X12" i="1"/>
  <c r="U24" i="1"/>
  <c r="S24" i="1"/>
  <c r="Q24" i="1"/>
  <c r="O24" i="1"/>
  <c r="V24" i="1"/>
  <c r="T24" i="1"/>
  <c r="R24" i="1"/>
  <c r="P24" i="1"/>
  <c r="J90" i="1"/>
  <c r="H90" i="1"/>
  <c r="F90" i="1"/>
  <c r="D90" i="1"/>
  <c r="J79" i="1"/>
  <c r="H79" i="1"/>
  <c r="F79" i="1"/>
  <c r="D79" i="1"/>
  <c r="J68" i="1"/>
  <c r="H68" i="1"/>
  <c r="F68" i="1"/>
  <c r="D68" i="1"/>
  <c r="J57" i="1"/>
  <c r="H57" i="1"/>
  <c r="F57" i="1"/>
  <c r="D57" i="1"/>
  <c r="K90" i="1"/>
  <c r="I90" i="1"/>
  <c r="G90" i="1"/>
  <c r="E90" i="1"/>
  <c r="K79" i="1"/>
  <c r="I79" i="1"/>
  <c r="G79" i="1"/>
  <c r="E79" i="1"/>
  <c r="K68" i="1"/>
  <c r="I68" i="1"/>
  <c r="G68" i="1"/>
  <c r="E68" i="1"/>
  <c r="K57" i="1"/>
  <c r="I57" i="1"/>
  <c r="G57" i="1"/>
  <c r="E57" i="1"/>
  <c r="K46" i="1"/>
  <c r="I46" i="1"/>
  <c r="G46" i="1"/>
  <c r="E46" i="1"/>
  <c r="K35" i="1"/>
  <c r="I35" i="1"/>
  <c r="G35" i="1"/>
  <c r="E35" i="1"/>
  <c r="K24" i="1"/>
  <c r="I24" i="1"/>
  <c r="G24" i="1"/>
  <c r="E24" i="1"/>
  <c r="J46" i="1"/>
  <c r="F46" i="1"/>
  <c r="J35" i="1"/>
  <c r="F35" i="1"/>
  <c r="J24" i="1"/>
  <c r="F24" i="1"/>
  <c r="H24" i="1"/>
  <c r="D24" i="1"/>
  <c r="H46" i="1"/>
  <c r="D46" i="1"/>
  <c r="H35" i="1"/>
  <c r="D35" i="1"/>
  <c r="E13" i="1"/>
  <c r="H13" i="1"/>
  <c r="I13" i="1"/>
  <c r="D13" i="1"/>
  <c r="F13" i="1"/>
  <c r="J13" i="1"/>
  <c r="G13" i="1"/>
  <c r="K13" i="1"/>
  <c r="V27" i="1"/>
  <c r="V38" i="1"/>
  <c r="V49" i="1"/>
  <c r="Q27" i="1"/>
  <c r="Q38" i="1"/>
  <c r="Q49" i="1"/>
  <c r="U27" i="1"/>
  <c r="U38" i="1"/>
  <c r="U49" i="1"/>
  <c r="R27" i="1"/>
  <c r="R38" i="1"/>
  <c r="R49" i="1"/>
  <c r="O27" i="1"/>
  <c r="O38" i="1"/>
  <c r="S27" i="1"/>
  <c r="S38" i="1"/>
  <c r="S49" i="1"/>
  <c r="P27" i="1"/>
  <c r="P38" i="1"/>
  <c r="T27" i="1"/>
  <c r="T38" i="1"/>
  <c r="T49" i="1"/>
  <c r="V29" i="1"/>
  <c r="V40" i="1"/>
  <c r="V51" i="1"/>
  <c r="Q29" i="1"/>
  <c r="Q40" i="1"/>
  <c r="Q51" i="1"/>
  <c r="U29" i="1"/>
  <c r="U40" i="1"/>
  <c r="U51" i="1"/>
  <c r="R29" i="1"/>
  <c r="R40" i="1"/>
  <c r="O29" i="1"/>
  <c r="O40" i="1"/>
  <c r="S29" i="1"/>
  <c r="S40" i="1"/>
  <c r="S51" i="1"/>
  <c r="P29" i="1"/>
  <c r="P40" i="1"/>
  <c r="P51" i="1"/>
  <c r="T29" i="1"/>
  <c r="T40" i="1"/>
  <c r="T51" i="1"/>
  <c r="U31" i="1"/>
  <c r="U42" i="1"/>
  <c r="U53" i="1"/>
  <c r="V31" i="1"/>
  <c r="V42" i="1"/>
  <c r="V53" i="1"/>
  <c r="O31" i="1"/>
  <c r="O42" i="1"/>
  <c r="P31" i="1"/>
  <c r="P42" i="1"/>
  <c r="P53" i="1"/>
  <c r="T31" i="1"/>
  <c r="T42" i="1"/>
  <c r="S31" i="1"/>
  <c r="S42" i="1"/>
  <c r="S53" i="1"/>
  <c r="Q31" i="1"/>
  <c r="Q42" i="1"/>
  <c r="Q53" i="1"/>
  <c r="R31" i="1"/>
  <c r="R42" i="1"/>
  <c r="R53" i="1"/>
  <c r="U33" i="1"/>
  <c r="U44" i="1"/>
  <c r="U55" i="1"/>
  <c r="P33" i="1"/>
  <c r="P44" i="1"/>
  <c r="P55" i="1"/>
  <c r="T33" i="1"/>
  <c r="T44" i="1"/>
  <c r="T55" i="1"/>
  <c r="O33" i="1"/>
  <c r="O44" i="1"/>
  <c r="Q33" i="1"/>
  <c r="Q44" i="1"/>
  <c r="Q55" i="1"/>
  <c r="S33" i="1"/>
  <c r="S44" i="1"/>
  <c r="S55" i="1"/>
  <c r="V33" i="1"/>
  <c r="V44" i="1"/>
  <c r="R33" i="1"/>
  <c r="R44" i="1"/>
  <c r="R55" i="1"/>
  <c r="V26" i="1"/>
  <c r="V37" i="1"/>
  <c r="V48" i="1"/>
  <c r="Q26" i="1"/>
  <c r="Q37" i="1"/>
  <c r="Q48" i="1"/>
  <c r="U26" i="1"/>
  <c r="U37" i="1"/>
  <c r="U48" i="1"/>
  <c r="P26" i="1"/>
  <c r="P37" i="1"/>
  <c r="P48" i="1"/>
  <c r="T26" i="1"/>
  <c r="T37" i="1"/>
  <c r="T48" i="1"/>
  <c r="O26" i="1"/>
  <c r="O37" i="1"/>
  <c r="S26" i="1"/>
  <c r="S37" i="1"/>
  <c r="S48" i="1"/>
  <c r="R26" i="1"/>
  <c r="R37" i="1"/>
  <c r="R48" i="1"/>
  <c r="V28" i="1"/>
  <c r="V39" i="1"/>
  <c r="V50" i="1"/>
  <c r="Q28" i="1"/>
  <c r="Q39" i="1"/>
  <c r="U28" i="1"/>
  <c r="U39" i="1"/>
  <c r="U50" i="1"/>
  <c r="P28" i="1"/>
  <c r="P39" i="1"/>
  <c r="P50" i="1"/>
  <c r="T28" i="1"/>
  <c r="T39" i="1"/>
  <c r="T50" i="1"/>
  <c r="O28" i="1"/>
  <c r="O39" i="1"/>
  <c r="S28" i="1"/>
  <c r="S39" i="1"/>
  <c r="S50" i="1"/>
  <c r="R28" i="1"/>
  <c r="R39" i="1"/>
  <c r="R50" i="1"/>
  <c r="Q30" i="1"/>
  <c r="Q41" i="1"/>
  <c r="Q52" i="1"/>
  <c r="O30" i="1"/>
  <c r="O41" i="1"/>
  <c r="R30" i="1"/>
  <c r="R41" i="1"/>
  <c r="R52" i="1"/>
  <c r="V30" i="1"/>
  <c r="V41" i="1"/>
  <c r="V52" i="1"/>
  <c r="U30" i="1"/>
  <c r="U41" i="1"/>
  <c r="U52" i="1"/>
  <c r="S30" i="1"/>
  <c r="S41" i="1"/>
  <c r="P30" i="1"/>
  <c r="P41" i="1"/>
  <c r="P52" i="1"/>
  <c r="T30" i="1"/>
  <c r="T41" i="1"/>
  <c r="T52" i="1"/>
  <c r="O32" i="1"/>
  <c r="O43" i="1"/>
  <c r="Q32" i="1"/>
  <c r="Q43" i="1"/>
  <c r="Q54" i="1"/>
  <c r="S32" i="1"/>
  <c r="S43" i="1"/>
  <c r="S54" i="1"/>
  <c r="V32" i="1"/>
  <c r="V43" i="1"/>
  <c r="V54" i="1"/>
  <c r="R32" i="1"/>
  <c r="R43" i="1"/>
  <c r="R54" i="1"/>
  <c r="U32" i="1"/>
  <c r="U43" i="1"/>
  <c r="P32" i="1"/>
  <c r="P43" i="1"/>
  <c r="P54" i="1"/>
  <c r="T32" i="1"/>
  <c r="T43" i="1"/>
  <c r="T54" i="1"/>
  <c r="G19" i="1"/>
  <c r="G21" i="1"/>
  <c r="G17" i="1"/>
  <c r="G18" i="1"/>
  <c r="G22" i="1"/>
  <c r="G15" i="1"/>
  <c r="G16" i="1"/>
  <c r="G20" i="1"/>
  <c r="I19" i="1"/>
  <c r="I16" i="1"/>
  <c r="I18" i="1"/>
  <c r="I20" i="1"/>
  <c r="I22" i="1"/>
  <c r="I15" i="1"/>
  <c r="I17" i="1"/>
  <c r="I21" i="1"/>
  <c r="H44" i="1"/>
  <c r="H38" i="1"/>
  <c r="H40" i="1"/>
  <c r="H37" i="1"/>
  <c r="H39" i="1"/>
  <c r="H41" i="1"/>
  <c r="H42" i="1"/>
  <c r="H43" i="1"/>
  <c r="K16" i="1"/>
  <c r="K20" i="1"/>
  <c r="K15" i="1"/>
  <c r="K17" i="1"/>
  <c r="K21" i="1"/>
  <c r="K18" i="1"/>
  <c r="K22" i="1"/>
  <c r="K19" i="1"/>
  <c r="J21" i="1"/>
  <c r="J17" i="1"/>
  <c r="J16" i="1"/>
  <c r="J20" i="1"/>
  <c r="J15" i="1"/>
  <c r="J19" i="1"/>
  <c r="J18" i="1"/>
  <c r="J22" i="1"/>
  <c r="D22" i="1"/>
  <c r="D20" i="1"/>
  <c r="D18" i="1"/>
  <c r="D16" i="1"/>
  <c r="D17" i="1"/>
  <c r="D21" i="1"/>
  <c r="D15" i="1"/>
  <c r="D19" i="1"/>
  <c r="H22" i="1"/>
  <c r="H20" i="1"/>
  <c r="H18" i="1"/>
  <c r="H16" i="1"/>
  <c r="H15" i="1"/>
  <c r="H19" i="1"/>
  <c r="H17" i="1"/>
  <c r="H21" i="1"/>
  <c r="D44" i="1"/>
  <c r="D38" i="1"/>
  <c r="D40" i="1"/>
  <c r="D37" i="1"/>
  <c r="D39" i="1"/>
  <c r="D41" i="1"/>
  <c r="D42" i="1"/>
  <c r="D43" i="1"/>
  <c r="D55" i="1"/>
  <c r="D48" i="1"/>
  <c r="D49" i="1"/>
  <c r="D50" i="1"/>
  <c r="D51" i="1"/>
  <c r="D52" i="1"/>
  <c r="D53" i="1"/>
  <c r="D54" i="1"/>
  <c r="D27" i="1"/>
  <c r="D29" i="1"/>
  <c r="D30" i="1"/>
  <c r="D26" i="1"/>
  <c r="D28" i="1"/>
  <c r="D31" i="1"/>
  <c r="D32" i="1"/>
  <c r="D33" i="1"/>
  <c r="F26" i="1"/>
  <c r="F27" i="1"/>
  <c r="F28" i="1"/>
  <c r="F31" i="1"/>
  <c r="F32" i="1"/>
  <c r="F33" i="1"/>
  <c r="F29" i="1"/>
  <c r="F30" i="1"/>
  <c r="F44" i="1"/>
  <c r="F37" i="1"/>
  <c r="F39" i="1"/>
  <c r="F41" i="1"/>
  <c r="F42" i="1"/>
  <c r="F43" i="1"/>
  <c r="F38" i="1"/>
  <c r="F40" i="1"/>
  <c r="F55" i="1"/>
  <c r="F48" i="1"/>
  <c r="F49" i="1"/>
  <c r="F50" i="1"/>
  <c r="F51" i="1"/>
  <c r="F52" i="1"/>
  <c r="F53" i="1"/>
  <c r="F54" i="1"/>
  <c r="E31" i="1"/>
  <c r="E26" i="1"/>
  <c r="E27" i="1"/>
  <c r="E28" i="1"/>
  <c r="E29" i="1"/>
  <c r="E30" i="1"/>
  <c r="E32" i="1"/>
  <c r="E33" i="1"/>
  <c r="I31" i="1"/>
  <c r="I26" i="1"/>
  <c r="I27" i="1"/>
  <c r="I28" i="1"/>
  <c r="I29" i="1"/>
  <c r="I30" i="1"/>
  <c r="I32" i="1"/>
  <c r="I33" i="1"/>
  <c r="E42" i="1"/>
  <c r="E44" i="1"/>
  <c r="E37" i="1"/>
  <c r="E38" i="1"/>
  <c r="E39" i="1"/>
  <c r="E40" i="1"/>
  <c r="E41" i="1"/>
  <c r="E43" i="1"/>
  <c r="I42" i="1"/>
  <c r="I44" i="1"/>
  <c r="I37" i="1"/>
  <c r="I38" i="1"/>
  <c r="I39" i="1"/>
  <c r="I40" i="1"/>
  <c r="I41" i="1"/>
  <c r="I43" i="1"/>
  <c r="E49" i="1"/>
  <c r="E51" i="1"/>
  <c r="E53" i="1"/>
  <c r="E55" i="1"/>
  <c r="E48" i="1"/>
  <c r="E50" i="1"/>
  <c r="E52" i="1"/>
  <c r="E54" i="1"/>
  <c r="I49" i="1"/>
  <c r="I51" i="1"/>
  <c r="I53" i="1"/>
  <c r="I55" i="1"/>
  <c r="I48" i="1"/>
  <c r="I50" i="1"/>
  <c r="I52" i="1"/>
  <c r="I54" i="1"/>
  <c r="E62" i="1"/>
  <c r="E60" i="1"/>
  <c r="E61" i="1"/>
  <c r="E64" i="1"/>
  <c r="E66" i="1"/>
  <c r="E59" i="1"/>
  <c r="E63" i="1"/>
  <c r="E65" i="1"/>
  <c r="I62" i="1"/>
  <c r="I61" i="1"/>
  <c r="I60" i="1"/>
  <c r="I64" i="1"/>
  <c r="I66" i="1"/>
  <c r="I59" i="1"/>
  <c r="I63" i="1"/>
  <c r="I65" i="1"/>
  <c r="E71" i="1"/>
  <c r="E73" i="1"/>
  <c r="E75" i="1"/>
  <c r="E77" i="1"/>
  <c r="E70" i="1"/>
  <c r="E72" i="1"/>
  <c r="E74" i="1"/>
  <c r="E76" i="1"/>
  <c r="I71" i="1"/>
  <c r="I73" i="1"/>
  <c r="I75" i="1"/>
  <c r="I77" i="1"/>
  <c r="I70" i="1"/>
  <c r="I72" i="1"/>
  <c r="I74" i="1"/>
  <c r="I76" i="1"/>
  <c r="E82" i="1"/>
  <c r="E84" i="1"/>
  <c r="E86" i="1"/>
  <c r="E88" i="1"/>
  <c r="E81" i="1"/>
  <c r="E83" i="1"/>
  <c r="E85" i="1"/>
  <c r="E87" i="1"/>
  <c r="I82" i="1"/>
  <c r="I84" i="1"/>
  <c r="I86" i="1"/>
  <c r="I88" i="1"/>
  <c r="I81" i="1"/>
  <c r="I83" i="1"/>
  <c r="I85" i="1"/>
  <c r="I87" i="1"/>
  <c r="E96" i="1"/>
  <c r="E93" i="1"/>
  <c r="E95" i="1"/>
  <c r="E97" i="1"/>
  <c r="E99" i="1"/>
  <c r="E92" i="1"/>
  <c r="E94" i="1"/>
  <c r="E98" i="1"/>
  <c r="I92" i="1"/>
  <c r="I94" i="1"/>
  <c r="I98" i="1"/>
  <c r="I93" i="1"/>
  <c r="I95" i="1"/>
  <c r="I97" i="1"/>
  <c r="I99" i="1"/>
  <c r="I96" i="1"/>
  <c r="D59" i="1"/>
  <c r="D61" i="1"/>
  <c r="D63" i="1"/>
  <c r="D65" i="1"/>
  <c r="D60" i="1"/>
  <c r="D62" i="1"/>
  <c r="D64" i="1"/>
  <c r="D66" i="1"/>
  <c r="H65" i="1"/>
  <c r="H59" i="1"/>
  <c r="H61" i="1"/>
  <c r="H63" i="1"/>
  <c r="H60" i="1"/>
  <c r="H62" i="1"/>
  <c r="H64" i="1"/>
  <c r="H66" i="1"/>
  <c r="D76" i="1"/>
  <c r="D70" i="1"/>
  <c r="D72" i="1"/>
  <c r="D74" i="1"/>
  <c r="D71" i="1"/>
  <c r="D73" i="1"/>
  <c r="D75" i="1"/>
  <c r="D77" i="1"/>
  <c r="H76" i="1"/>
  <c r="H70" i="1"/>
  <c r="H74" i="1"/>
  <c r="H72" i="1"/>
  <c r="H71" i="1"/>
  <c r="H73" i="1"/>
  <c r="H75" i="1"/>
  <c r="H77" i="1"/>
  <c r="D87" i="1"/>
  <c r="D81" i="1"/>
  <c r="D83" i="1"/>
  <c r="D82" i="1"/>
  <c r="D84" i="1"/>
  <c r="D86" i="1"/>
  <c r="D88" i="1"/>
  <c r="D85" i="1"/>
  <c r="H87" i="1"/>
  <c r="H83" i="1"/>
  <c r="H81" i="1"/>
  <c r="H82" i="1"/>
  <c r="H84" i="1"/>
  <c r="H86" i="1"/>
  <c r="H88" i="1"/>
  <c r="H85" i="1"/>
  <c r="D98" i="1"/>
  <c r="D92" i="1"/>
  <c r="D93" i="1"/>
  <c r="D95" i="1"/>
  <c r="D97" i="1"/>
  <c r="D99" i="1"/>
  <c r="D94" i="1"/>
  <c r="D96" i="1"/>
  <c r="H98" i="1"/>
  <c r="H94" i="1"/>
  <c r="H92" i="1"/>
  <c r="H93" i="1"/>
  <c r="H95" i="1"/>
  <c r="H97" i="1"/>
  <c r="H99" i="1"/>
  <c r="H96" i="1"/>
  <c r="F18" i="1"/>
  <c r="F22" i="1"/>
  <c r="F15" i="1"/>
  <c r="F17" i="1"/>
  <c r="F19" i="1"/>
  <c r="F21" i="1"/>
  <c r="F16" i="1"/>
  <c r="F20" i="1"/>
  <c r="E15" i="1"/>
  <c r="E17" i="1"/>
  <c r="E16" i="1"/>
  <c r="E18" i="1"/>
  <c r="E20" i="1"/>
  <c r="E22" i="1"/>
  <c r="E19" i="1"/>
  <c r="E21" i="1"/>
  <c r="H55" i="1"/>
  <c r="H48" i="1"/>
  <c r="H49" i="1"/>
  <c r="H50" i="1"/>
  <c r="H51" i="1"/>
  <c r="H52" i="1"/>
  <c r="H53" i="1"/>
  <c r="H54" i="1"/>
  <c r="H26" i="1"/>
  <c r="H28" i="1"/>
  <c r="H29" i="1"/>
  <c r="H30" i="1"/>
  <c r="H27" i="1"/>
  <c r="H31" i="1"/>
  <c r="H32" i="1"/>
  <c r="H33" i="1"/>
  <c r="J28" i="1"/>
  <c r="J27" i="1"/>
  <c r="J30" i="1"/>
  <c r="J26" i="1"/>
  <c r="J29" i="1"/>
  <c r="J31" i="1"/>
  <c r="J33" i="1"/>
  <c r="J32" i="1"/>
  <c r="J44" i="1"/>
  <c r="J39" i="1"/>
  <c r="J38" i="1"/>
  <c r="J37" i="1"/>
  <c r="J40" i="1"/>
  <c r="J41" i="1"/>
  <c r="J42" i="1"/>
  <c r="J43" i="1"/>
  <c r="J55" i="1"/>
  <c r="J48" i="1"/>
  <c r="J49" i="1"/>
  <c r="J50" i="1"/>
  <c r="J51" i="1"/>
  <c r="J52" i="1"/>
  <c r="J53" i="1"/>
  <c r="J54" i="1"/>
  <c r="G30" i="1"/>
  <c r="G26" i="1"/>
  <c r="G27" i="1"/>
  <c r="G28" i="1"/>
  <c r="G29" i="1"/>
  <c r="G31" i="1"/>
  <c r="G32" i="1"/>
  <c r="G33" i="1"/>
  <c r="K26" i="1"/>
  <c r="K27" i="1"/>
  <c r="K28" i="1"/>
  <c r="K29" i="1"/>
  <c r="K32" i="1"/>
  <c r="K33" i="1"/>
  <c r="K30" i="1"/>
  <c r="K31" i="1"/>
  <c r="G37" i="1"/>
  <c r="G38" i="1"/>
  <c r="G39" i="1"/>
  <c r="G40" i="1"/>
  <c r="G41" i="1"/>
  <c r="G43" i="1"/>
  <c r="G42" i="1"/>
  <c r="G44" i="1"/>
  <c r="K43" i="1"/>
  <c r="K42" i="1"/>
  <c r="K41" i="1"/>
  <c r="K44" i="1"/>
  <c r="K37" i="1"/>
  <c r="K38" i="1"/>
  <c r="K39" i="1"/>
  <c r="K40" i="1"/>
  <c r="G48" i="1"/>
  <c r="G50" i="1"/>
  <c r="G52" i="1"/>
  <c r="G54" i="1"/>
  <c r="G49" i="1"/>
  <c r="G51" i="1"/>
  <c r="G53" i="1"/>
  <c r="G55" i="1"/>
  <c r="K49" i="1"/>
  <c r="K53" i="1"/>
  <c r="K48" i="1"/>
  <c r="K54" i="1"/>
  <c r="K50" i="1"/>
  <c r="K51" i="1"/>
  <c r="K55" i="1"/>
  <c r="K52" i="1"/>
  <c r="G64" i="1"/>
  <c r="G66" i="1"/>
  <c r="G59" i="1"/>
  <c r="G63" i="1"/>
  <c r="G65" i="1"/>
  <c r="G60" i="1"/>
  <c r="G62" i="1"/>
  <c r="G61" i="1"/>
  <c r="K60" i="1"/>
  <c r="K62" i="1"/>
  <c r="K61" i="1"/>
  <c r="K65" i="1"/>
  <c r="K64" i="1"/>
  <c r="K66" i="1"/>
  <c r="K59" i="1"/>
  <c r="K63" i="1"/>
  <c r="G71" i="1"/>
  <c r="G73" i="1"/>
  <c r="G75" i="1"/>
  <c r="G77" i="1"/>
  <c r="G70" i="1"/>
  <c r="G72" i="1"/>
  <c r="G74" i="1"/>
  <c r="G76" i="1"/>
  <c r="K72" i="1"/>
  <c r="K76" i="1"/>
  <c r="K70" i="1"/>
  <c r="K74" i="1"/>
  <c r="K71" i="1"/>
  <c r="K73" i="1"/>
  <c r="K75" i="1"/>
  <c r="K77" i="1"/>
  <c r="G82" i="1"/>
  <c r="G84" i="1"/>
  <c r="G86" i="1"/>
  <c r="G88" i="1"/>
  <c r="G81" i="1"/>
  <c r="G83" i="1"/>
  <c r="G85" i="1"/>
  <c r="G87" i="1"/>
  <c r="K83" i="1"/>
  <c r="K87" i="1"/>
  <c r="K81" i="1"/>
  <c r="K85" i="1"/>
  <c r="K82" i="1"/>
  <c r="K84" i="1"/>
  <c r="K86" i="1"/>
  <c r="K88" i="1"/>
  <c r="G93" i="1"/>
  <c r="G95" i="1"/>
  <c r="G97" i="1"/>
  <c r="G99" i="1"/>
  <c r="G92" i="1"/>
  <c r="G94" i="1"/>
  <c r="G96" i="1"/>
  <c r="G98" i="1"/>
  <c r="K94" i="1"/>
  <c r="K96" i="1"/>
  <c r="K92" i="1"/>
  <c r="K98" i="1"/>
  <c r="K93" i="1"/>
  <c r="K95" i="1"/>
  <c r="K97" i="1"/>
  <c r="K99" i="1"/>
  <c r="F61" i="1"/>
  <c r="F65" i="1"/>
  <c r="F59" i="1"/>
  <c r="F63" i="1"/>
  <c r="F60" i="1"/>
  <c r="F62" i="1"/>
  <c r="F64" i="1"/>
  <c r="F66" i="1"/>
  <c r="J59" i="1"/>
  <c r="J63" i="1"/>
  <c r="J64" i="1"/>
  <c r="J61" i="1"/>
  <c r="J65" i="1"/>
  <c r="J66" i="1"/>
  <c r="J60" i="1"/>
  <c r="J62" i="1"/>
  <c r="F76" i="1"/>
  <c r="F70" i="1"/>
  <c r="F74" i="1"/>
  <c r="F72" i="1"/>
  <c r="F71" i="1"/>
  <c r="F73" i="1"/>
  <c r="F75" i="1"/>
  <c r="F77" i="1"/>
  <c r="J76" i="1"/>
  <c r="J77" i="1"/>
  <c r="J72" i="1"/>
  <c r="J71" i="1"/>
  <c r="J73" i="1"/>
  <c r="J75" i="1"/>
  <c r="J70" i="1"/>
  <c r="J74" i="1"/>
  <c r="F87" i="1"/>
  <c r="F81" i="1"/>
  <c r="F83" i="1"/>
  <c r="F85" i="1"/>
  <c r="F82" i="1"/>
  <c r="F84" i="1"/>
  <c r="F86" i="1"/>
  <c r="F88" i="1"/>
  <c r="J87" i="1"/>
  <c r="J82" i="1"/>
  <c r="J84" i="1"/>
  <c r="J88" i="1"/>
  <c r="J83" i="1"/>
  <c r="J86" i="1"/>
  <c r="J81" i="1"/>
  <c r="J85" i="1"/>
  <c r="F98" i="1"/>
  <c r="F92" i="1"/>
  <c r="F94" i="1"/>
  <c r="F96" i="1"/>
  <c r="F97" i="1"/>
  <c r="F93" i="1"/>
  <c r="F95" i="1"/>
  <c r="F99" i="1"/>
  <c r="J98" i="1"/>
  <c r="J93" i="1"/>
  <c r="J97" i="1"/>
  <c r="J95" i="1"/>
  <c r="J99" i="1"/>
  <c r="J92" i="1"/>
  <c r="J94" i="1"/>
  <c r="J96" i="1"/>
  <c r="L2" i="1"/>
  <c r="U54" i="1"/>
  <c r="Y43" i="1"/>
  <c r="AA43" i="1"/>
  <c r="Y41" i="1"/>
  <c r="AA41" i="1"/>
  <c r="S52" i="1"/>
  <c r="X41" i="1"/>
  <c r="O52" i="1"/>
  <c r="O50" i="1"/>
  <c r="X39" i="1"/>
  <c r="Q50" i="1"/>
  <c r="Q56" i="1"/>
  <c r="Y39" i="1"/>
  <c r="AA39" i="1"/>
  <c r="X37" i="1"/>
  <c r="O48" i="1"/>
  <c r="Y37" i="1"/>
  <c r="AA37" i="1"/>
  <c r="O55" i="1"/>
  <c r="X44" i="1"/>
  <c r="Y40" i="1"/>
  <c r="AA40" i="1"/>
  <c r="R51" i="1"/>
  <c r="R56" i="1"/>
  <c r="X43" i="1"/>
  <c r="Z43" i="1"/>
  <c r="AB43" i="1"/>
  <c r="O54" i="1"/>
  <c r="S56" i="1"/>
  <c r="U56" i="1"/>
  <c r="V55" i="1"/>
  <c r="V56" i="1"/>
  <c r="Y44" i="1"/>
  <c r="AA44" i="1"/>
  <c r="Y42" i="1"/>
  <c r="AA42" i="1"/>
  <c r="T53" i="1"/>
  <c r="T56" i="1"/>
  <c r="X42" i="1"/>
  <c r="O53" i="1"/>
  <c r="O51" i="1"/>
  <c r="X40" i="1"/>
  <c r="Y38" i="1"/>
  <c r="AA38" i="1"/>
  <c r="P49" i="1"/>
  <c r="P56" i="1"/>
  <c r="O49" i="1"/>
  <c r="X38" i="1"/>
  <c r="H106" i="1"/>
  <c r="H118" i="1"/>
  <c r="E107" i="1"/>
  <c r="E119" i="1"/>
  <c r="E109" i="1"/>
  <c r="E121" i="1"/>
  <c r="E110" i="1"/>
  <c r="E122" i="1"/>
  <c r="E147" i="1"/>
  <c r="E106" i="1"/>
  <c r="E118" i="1"/>
  <c r="E105" i="1"/>
  <c r="E117" i="1"/>
  <c r="H104" i="1"/>
  <c r="H116" i="1"/>
  <c r="E108" i="1"/>
  <c r="E120" i="1"/>
  <c r="E104" i="1"/>
  <c r="E116" i="1"/>
  <c r="E141" i="1"/>
  <c r="H110" i="1"/>
  <c r="H122" i="1"/>
  <c r="H134" i="1"/>
  <c r="H108" i="1"/>
  <c r="H120" i="1"/>
  <c r="K108" i="1"/>
  <c r="K120" i="1"/>
  <c r="K110" i="1"/>
  <c r="K122" i="1"/>
  <c r="K106" i="1"/>
  <c r="K118" i="1"/>
  <c r="K104" i="1"/>
  <c r="K116" i="1"/>
  <c r="J105" i="1"/>
  <c r="J117" i="1"/>
  <c r="J103" i="1"/>
  <c r="J109" i="1"/>
  <c r="J121" i="1"/>
  <c r="J108" i="1"/>
  <c r="J120" i="1"/>
  <c r="F109" i="1"/>
  <c r="F121" i="1"/>
  <c r="F105" i="1"/>
  <c r="F117" i="1"/>
  <c r="F129" i="1"/>
  <c r="F110" i="1"/>
  <c r="F122" i="1"/>
  <c r="F108" i="1"/>
  <c r="F120" i="1"/>
  <c r="F104" i="1"/>
  <c r="F116" i="1"/>
  <c r="D110" i="1"/>
  <c r="D108" i="1"/>
  <c r="D106" i="1"/>
  <c r="H109" i="1"/>
  <c r="H121" i="1"/>
  <c r="H107" i="1"/>
  <c r="H119" i="1"/>
  <c r="H131" i="1"/>
  <c r="D107" i="1"/>
  <c r="D109" i="1"/>
  <c r="K107" i="1"/>
  <c r="K119" i="1"/>
  <c r="K105" i="1"/>
  <c r="K117" i="1"/>
  <c r="I109" i="1"/>
  <c r="I121" i="1"/>
  <c r="I103" i="1"/>
  <c r="I108" i="1"/>
  <c r="I120" i="1"/>
  <c r="I132" i="1"/>
  <c r="I104" i="1"/>
  <c r="I116" i="1"/>
  <c r="G108" i="1"/>
  <c r="G120" i="1"/>
  <c r="G103" i="1"/>
  <c r="G106" i="1"/>
  <c r="G118" i="1"/>
  <c r="G130" i="1"/>
  <c r="G109" i="1"/>
  <c r="G121" i="1"/>
  <c r="J106" i="1"/>
  <c r="J118" i="1"/>
  <c r="J104" i="1"/>
  <c r="J116" i="1"/>
  <c r="J110" i="1"/>
  <c r="J122" i="1"/>
  <c r="J107" i="1"/>
  <c r="J119" i="1"/>
  <c r="E103" i="1"/>
  <c r="F107" i="1"/>
  <c r="F119" i="1"/>
  <c r="F103" i="1"/>
  <c r="F106" i="1"/>
  <c r="F118" i="1"/>
  <c r="D104" i="1"/>
  <c r="H105" i="1"/>
  <c r="H117" i="1"/>
  <c r="H103" i="1"/>
  <c r="D103" i="1"/>
  <c r="D105" i="1"/>
  <c r="K109" i="1"/>
  <c r="K121" i="1"/>
  <c r="K103" i="1"/>
  <c r="I105" i="1"/>
  <c r="I117" i="1"/>
  <c r="I110" i="1"/>
  <c r="I122" i="1"/>
  <c r="I106" i="1"/>
  <c r="I118" i="1"/>
  <c r="I107" i="1"/>
  <c r="I119" i="1"/>
  <c r="G104" i="1"/>
  <c r="G116" i="1"/>
  <c r="G110" i="1"/>
  <c r="G122" i="1"/>
  <c r="G105" i="1"/>
  <c r="G117" i="1"/>
  <c r="G107" i="1"/>
  <c r="G119" i="1"/>
  <c r="W53" i="1"/>
  <c r="Z42" i="1"/>
  <c r="AB42" i="1"/>
  <c r="W52" i="1"/>
  <c r="Z41" i="1"/>
  <c r="AB41" i="1"/>
  <c r="I141" i="1"/>
  <c r="I128" i="1"/>
  <c r="H147" i="1"/>
  <c r="W54" i="1"/>
  <c r="F145" i="1"/>
  <c r="F132" i="1"/>
  <c r="F144" i="1"/>
  <c r="F131" i="1"/>
  <c r="E145" i="1"/>
  <c r="E132" i="1"/>
  <c r="E144" i="1"/>
  <c r="E131" i="1"/>
  <c r="I142" i="1"/>
  <c r="I129" i="1"/>
  <c r="H142" i="1"/>
  <c r="H129" i="1"/>
  <c r="H141" i="1"/>
  <c r="H128" i="1"/>
  <c r="G145" i="1"/>
  <c r="G132" i="1"/>
  <c r="I143" i="1"/>
  <c r="I130" i="1"/>
  <c r="J143" i="1"/>
  <c r="J130" i="1"/>
  <c r="J142" i="1"/>
  <c r="J129" i="1"/>
  <c r="J141" i="1"/>
  <c r="J128" i="1"/>
  <c r="G146" i="1"/>
  <c r="G133" i="1"/>
  <c r="F146" i="1"/>
  <c r="F133" i="1"/>
  <c r="E146" i="1"/>
  <c r="E133" i="1"/>
  <c r="H146" i="1"/>
  <c r="H133" i="1"/>
  <c r="I146" i="1"/>
  <c r="I133" i="1"/>
  <c r="J145" i="1"/>
  <c r="J132" i="1"/>
  <c r="H145" i="1"/>
  <c r="H132" i="1"/>
  <c r="J144" i="1"/>
  <c r="J131" i="1"/>
  <c r="I144" i="1"/>
  <c r="I131" i="1"/>
  <c r="H143" i="1"/>
  <c r="H130" i="1"/>
  <c r="G144" i="1"/>
  <c r="G131" i="1"/>
  <c r="G142" i="1"/>
  <c r="G129" i="1"/>
  <c r="F143" i="1"/>
  <c r="F130" i="1"/>
  <c r="E143" i="1"/>
  <c r="E130" i="1"/>
  <c r="E142" i="1"/>
  <c r="E129" i="1"/>
  <c r="G141" i="1"/>
  <c r="G128" i="1"/>
  <c r="F141" i="1"/>
  <c r="F128" i="1"/>
  <c r="W51" i="1"/>
  <c r="Y116" i="1"/>
  <c r="AA116" i="1"/>
  <c r="E128" i="1"/>
  <c r="Z38" i="1"/>
  <c r="AB38" i="1"/>
  <c r="Z40" i="1"/>
  <c r="AB40" i="1"/>
  <c r="W55" i="1"/>
  <c r="Y45" i="1"/>
  <c r="AA45" i="1"/>
  <c r="Z37" i="1"/>
  <c r="AB37" i="1"/>
  <c r="X45" i="1"/>
  <c r="Z39" i="1"/>
  <c r="AB39" i="1"/>
  <c r="W49" i="1"/>
  <c r="Z44" i="1"/>
  <c r="AB44" i="1"/>
  <c r="O56" i="1"/>
  <c r="W56" i="1"/>
  <c r="X57" i="1"/>
  <c r="X58" i="1"/>
  <c r="W48" i="1"/>
  <c r="W50" i="1"/>
  <c r="E134" i="1"/>
  <c r="G134" i="1"/>
  <c r="G147" i="1"/>
  <c r="I134" i="1"/>
  <c r="I147" i="1"/>
  <c r="K111" i="1"/>
  <c r="K115" i="1"/>
  <c r="D117" i="1"/>
  <c r="L105" i="1"/>
  <c r="H115" i="1"/>
  <c r="H111" i="1"/>
  <c r="D116" i="1"/>
  <c r="L104" i="1"/>
  <c r="F111" i="1"/>
  <c r="F115" i="1"/>
  <c r="E115" i="1"/>
  <c r="E111" i="1"/>
  <c r="G115" i="1"/>
  <c r="G111" i="1"/>
  <c r="I111" i="1"/>
  <c r="I115" i="1"/>
  <c r="K129" i="1"/>
  <c r="K142" i="1"/>
  <c r="L109" i="1"/>
  <c r="D121" i="1"/>
  <c r="H144" i="1"/>
  <c r="O118" i="1"/>
  <c r="R118" i="1"/>
  <c r="Y119" i="1"/>
  <c r="AA119" i="1"/>
  <c r="D118" i="1"/>
  <c r="L106" i="1"/>
  <c r="D122" i="1"/>
  <c r="L110" i="1"/>
  <c r="F142" i="1"/>
  <c r="O121" i="1"/>
  <c r="R121" i="1"/>
  <c r="Y117" i="1"/>
  <c r="AA117" i="1"/>
  <c r="J115" i="1"/>
  <c r="J111" i="1"/>
  <c r="K128" i="1"/>
  <c r="K141" i="1"/>
  <c r="K147" i="1"/>
  <c r="Y122" i="1"/>
  <c r="AA122" i="1"/>
  <c r="K134" i="1"/>
  <c r="K133" i="1"/>
  <c r="K146" i="1"/>
  <c r="D111" i="1"/>
  <c r="D115" i="1"/>
  <c r="L103" i="1"/>
  <c r="O124" i="1"/>
  <c r="R124" i="1"/>
  <c r="J147" i="1"/>
  <c r="J134" i="1"/>
  <c r="G143" i="1"/>
  <c r="Y118" i="1"/>
  <c r="AA118" i="1"/>
  <c r="Y120" i="1"/>
  <c r="AA120" i="1"/>
  <c r="I145" i="1"/>
  <c r="K144" i="1"/>
  <c r="K131" i="1"/>
  <c r="D119" i="1"/>
  <c r="L107" i="1"/>
  <c r="D120" i="1"/>
  <c r="L108" i="1"/>
  <c r="F134" i="1"/>
  <c r="F147" i="1"/>
  <c r="J146" i="1"/>
  <c r="Y121" i="1"/>
  <c r="AA121" i="1"/>
  <c r="J133" i="1"/>
  <c r="K130" i="1"/>
  <c r="K143" i="1"/>
  <c r="K132" i="1"/>
  <c r="K145" i="1"/>
  <c r="Z45" i="1"/>
  <c r="AB45" i="1"/>
  <c r="AB46" i="1"/>
  <c r="L111" i="1"/>
  <c r="D134" i="1"/>
  <c r="L134" i="1"/>
  <c r="L122" i="1"/>
  <c r="X122" i="1"/>
  <c r="Z122" i="1"/>
  <c r="AB122" i="1"/>
  <c r="D147" i="1"/>
  <c r="L147" i="1"/>
  <c r="D143" i="1"/>
  <c r="L143" i="1"/>
  <c r="D130" i="1"/>
  <c r="L130" i="1"/>
  <c r="L118" i="1"/>
  <c r="X118" i="1"/>
  <c r="Z118" i="1"/>
  <c r="AB118" i="1"/>
  <c r="D133" i="1"/>
  <c r="L133" i="1"/>
  <c r="D146" i="1"/>
  <c r="L146" i="1"/>
  <c r="L121" i="1"/>
  <c r="X121" i="1"/>
  <c r="Z121" i="1"/>
  <c r="AB121" i="1"/>
  <c r="I140" i="1"/>
  <c r="I148" i="1"/>
  <c r="I127" i="1"/>
  <c r="I135" i="1"/>
  <c r="I123" i="1"/>
  <c r="F127" i="1"/>
  <c r="F135" i="1"/>
  <c r="O120" i="1"/>
  <c r="R120" i="1"/>
  <c r="F140" i="1"/>
  <c r="F148" i="1"/>
  <c r="F123" i="1"/>
  <c r="K127" i="1"/>
  <c r="K135" i="1"/>
  <c r="K123" i="1"/>
  <c r="K140" i="1"/>
  <c r="K148" i="1"/>
  <c r="D145" i="1"/>
  <c r="L145" i="1"/>
  <c r="D132" i="1"/>
  <c r="L132" i="1"/>
  <c r="L120" i="1"/>
  <c r="X120" i="1"/>
  <c r="Z120" i="1"/>
  <c r="AB120" i="1"/>
  <c r="D131" i="1"/>
  <c r="L131" i="1"/>
  <c r="N118" i="1"/>
  <c r="Q118" i="1"/>
  <c r="D144" i="1"/>
  <c r="L144" i="1"/>
  <c r="L119" i="1"/>
  <c r="D127" i="1"/>
  <c r="N123" i="1"/>
  <c r="Q123" i="1"/>
  <c r="L115" i="1"/>
  <c r="X115" i="1"/>
  <c r="Y115" i="1"/>
  <c r="D140" i="1"/>
  <c r="D123" i="1"/>
  <c r="N117" i="1"/>
  <c r="Q117" i="1"/>
  <c r="N120" i="1"/>
  <c r="Q120" i="1"/>
  <c r="J127" i="1"/>
  <c r="J135" i="1"/>
  <c r="J140" i="1"/>
  <c r="J148" i="1"/>
  <c r="J123" i="1"/>
  <c r="G127" i="1"/>
  <c r="G135" i="1"/>
  <c r="G123" i="1"/>
  <c r="G140" i="1"/>
  <c r="G148" i="1"/>
  <c r="E127" i="1"/>
  <c r="E135" i="1"/>
  <c r="O123" i="1"/>
  <c r="R123" i="1"/>
  <c r="E140" i="1"/>
  <c r="E148" i="1"/>
  <c r="E123" i="1"/>
  <c r="D141" i="1"/>
  <c r="L141" i="1"/>
  <c r="L116" i="1"/>
  <c r="D128" i="1"/>
  <c r="L128" i="1"/>
  <c r="N124" i="1"/>
  <c r="Q124" i="1"/>
  <c r="H140" i="1"/>
  <c r="H148" i="1"/>
  <c r="H123" i="1"/>
  <c r="H127" i="1"/>
  <c r="H135" i="1"/>
  <c r="O117" i="1"/>
  <c r="R117" i="1"/>
  <c r="D142" i="1"/>
  <c r="L142" i="1"/>
  <c r="N121" i="1"/>
  <c r="Q121" i="1"/>
  <c r="D129" i="1"/>
  <c r="L129" i="1"/>
  <c r="L117" i="1"/>
  <c r="O114" i="1"/>
  <c r="X117" i="1"/>
  <c r="Z117" i="1"/>
  <c r="AB117" i="1"/>
  <c r="S120" i="1"/>
  <c r="T120" i="1"/>
  <c r="U120" i="1"/>
  <c r="L123" i="1"/>
  <c r="AA115" i="1"/>
  <c r="AA123" i="1"/>
  <c r="Y123" i="1"/>
  <c r="S123" i="1"/>
  <c r="T123" i="1"/>
  <c r="U123" i="1"/>
  <c r="X119" i="1"/>
  <c r="Z119" i="1"/>
  <c r="AB119" i="1"/>
  <c r="O113" i="1"/>
  <c r="X116" i="1"/>
  <c r="Z116" i="1"/>
  <c r="AB116" i="1"/>
  <c r="O115" i="1"/>
  <c r="S117" i="1"/>
  <c r="T117" i="1"/>
  <c r="U117" i="1"/>
  <c r="D148" i="1"/>
  <c r="L140" i="1"/>
  <c r="L148" i="1"/>
  <c r="Z115" i="1"/>
  <c r="D135" i="1"/>
  <c r="L127" i="1"/>
  <c r="L135" i="1"/>
  <c r="B3" i="1"/>
  <c r="B4" i="1"/>
  <c r="N147" i="1"/>
  <c r="N148" i="1"/>
  <c r="X123" i="1"/>
  <c r="Z123" i="1"/>
  <c r="AB115" i="1"/>
  <c r="AB123" i="1"/>
  <c r="AC123" i="1"/>
</calcChain>
</file>

<file path=xl/sharedStrings.xml><?xml version="1.0" encoding="utf-8"?>
<sst xmlns="http://schemas.openxmlformats.org/spreadsheetml/2006/main" count="3040" uniqueCount="118">
  <si>
    <t>e1</t>
  </si>
  <si>
    <t>e2</t>
  </si>
  <si>
    <t>e3</t>
  </si>
  <si>
    <t>p111</t>
  </si>
  <si>
    <t>p112</t>
  </si>
  <si>
    <t>p121</t>
  </si>
  <si>
    <t>p122</t>
  </si>
  <si>
    <t>p211</t>
  </si>
  <si>
    <t>p212</t>
  </si>
  <si>
    <t>p221</t>
  </si>
  <si>
    <t>p222</t>
  </si>
  <si>
    <t>CHISQ</t>
  </si>
  <si>
    <t>DATA</t>
  </si>
  <si>
    <t>111</t>
  </si>
  <si>
    <t>112</t>
  </si>
  <si>
    <t>121</t>
  </si>
  <si>
    <t>122</t>
  </si>
  <si>
    <t>211</t>
  </si>
  <si>
    <t>212</t>
  </si>
  <si>
    <t>221</t>
  </si>
  <si>
    <t>222</t>
  </si>
  <si>
    <t>p=</t>
  </si>
  <si>
    <t>ep1=</t>
  </si>
  <si>
    <t>ep2=</t>
  </si>
  <si>
    <t>ep3=</t>
  </si>
  <si>
    <t>theory111</t>
  </si>
  <si>
    <t>theory112</t>
  </si>
  <si>
    <t>theory121</t>
  </si>
  <si>
    <t>theory122</t>
  </si>
  <si>
    <t>theory211</t>
  </si>
  <si>
    <t>theory212</t>
  </si>
  <si>
    <t>theory221</t>
  </si>
  <si>
    <t>theory222</t>
  </si>
  <si>
    <t>pred_probs</t>
  </si>
  <si>
    <t>pred_freqs</t>
  </si>
  <si>
    <t>G-terms</t>
  </si>
  <si>
    <t>P(1)</t>
  </si>
  <si>
    <t>P(2)</t>
  </si>
  <si>
    <t>P(3)</t>
  </si>
  <si>
    <t>item 1</t>
  </si>
  <si>
    <t>item 2</t>
  </si>
  <si>
    <t>item 3</t>
  </si>
  <si>
    <t>P-LEVEL</t>
  </si>
  <si>
    <t>sig</t>
  </si>
  <si>
    <t>CHISQ TERMS</t>
  </si>
  <si>
    <t>PREDS</t>
  </si>
  <si>
    <t>Total</t>
  </si>
  <si>
    <t>FIRST</t>
  </si>
  <si>
    <t>BOTH</t>
  </si>
  <si>
    <t>FIRST-NOT Both</t>
  </si>
  <si>
    <t>CHI-TERMS</t>
  </si>
  <si>
    <t>CHISQUARE</t>
  </si>
  <si>
    <t>CHISQ terms</t>
  </si>
  <si>
    <t>G-SQUARE</t>
  </si>
  <si>
    <t>Predictions</t>
  </si>
  <si>
    <t>INDEPENDENCE TESTS</t>
  </si>
  <si>
    <t>PREDS OF INDEP</t>
  </si>
  <si>
    <t>TESTING INDEPENDENCE</t>
  </si>
  <si>
    <t>TESTS OF TE MODELS</t>
  </si>
  <si>
    <t>SUMS</t>
  </si>
  <si>
    <t>FIT OF TE MODELS</t>
  </si>
  <si>
    <t>p-value for test with 53 df</t>
  </si>
  <si>
    <t>PREDICTIONS BASED ON INDEPENDENCE ARE BELOW</t>
  </si>
  <si>
    <t>PREDICTIONS BASED ON INDEPENDENCE</t>
  </si>
  <si>
    <t>CHISQUARE TEST OF INDEP</t>
  </si>
  <si>
    <t>SIG LEVEL</t>
  </si>
  <si>
    <t>FIRST-not both</t>
  </si>
  <si>
    <t>Tests of Independence</t>
  </si>
  <si>
    <t xml:space="preserve">CHISQ </t>
  </si>
  <si>
    <t>DF=15 - 3</t>
  </si>
  <si>
    <t>CHISQUARE TERMS TESTING INDEPENDENCE</t>
  </si>
  <si>
    <t>The live equations are in the page labeled "calcs"</t>
  </si>
  <si>
    <t>One can choose various indices to fit using the Solver.  The indices of fit are colored in various shades of red or pink</t>
  </si>
  <si>
    <t>One can choose various parameters to be free.  The parameters are colored in yellow.</t>
  </si>
  <si>
    <t xml:space="preserve">The data go in D4 to K11.  </t>
  </si>
  <si>
    <t>The TE theory allows a person to be in one of 8 "true" preference patterns during a block.</t>
  </si>
  <si>
    <t>These "true" patterns are labeled 111, 112, 121, 122, 211, 212, 221, and 222</t>
  </si>
  <si>
    <t>The patterns 111 and 222 (aka 000 and 111) are INTRANSITIVE</t>
  </si>
  <si>
    <t>There are two sets of errors possible.  These can be constrained so that e1 = ep1, e2 = ep2, and e3 = ep3.</t>
  </si>
  <si>
    <t>The page is set up so that one can compute either a G-square or Chi-Square on the 8 X 8 data, or one can fit the partitioned data, partitioned as 8 X 2.</t>
  </si>
  <si>
    <t>This workbook contains the equations to calculate the fit of independence, the TE model, and transitivity</t>
  </si>
  <si>
    <t>The marginal choice proportions are the estimated parameters of the independence model</t>
  </si>
  <si>
    <t>Those constrained values are then fixed to those values.</t>
  </si>
  <si>
    <t>Error probabilities are required to be non-negative and less than 1/2.  They are also assumed to be mutually independent.</t>
  </si>
  <si>
    <t>Any other sheets contain solutions that are pasted as values (not live equations).</t>
  </si>
  <si>
    <t>8 X 2 Partition of Data</t>
  </si>
  <si>
    <t>8 X 2 Partition Predictions</t>
  </si>
  <si>
    <t>All of the models described in the paper have been fit with that assumption (errors different for different choice problems, but error rates are the same for the two versions of the same problems), but the worksheet allows them to be estimated separately.</t>
  </si>
  <si>
    <t xml:space="preserve">Predictions based on the theory of INDEPENDENCE are calculated in all runs; these use marginal proportions to estimate the parameters, as in the standard chi-square test of independence. </t>
  </si>
  <si>
    <t>The special case of the TE model that is transitive would have the parameters for p111 and p222 fixed to zero.</t>
  </si>
  <si>
    <r>
      <rPr>
        <b/>
        <sz val="11"/>
        <color theme="1"/>
        <rFont val="Calibri"/>
        <family val="2"/>
        <scheme val="minor"/>
      </rPr>
      <t>Constrained</t>
    </r>
    <r>
      <rPr>
        <sz val="11"/>
        <color theme="1"/>
        <rFont val="Calibri"/>
        <family val="2"/>
        <scheme val="minor"/>
      </rPr>
      <t xml:space="preserve"> fits are based on the estimates of errors based on the preference reversals between repetitions within block only.</t>
    </r>
  </si>
  <si>
    <r>
      <t xml:space="preserve">When  parameters are free (allow intransitivity), the model is called the </t>
    </r>
    <r>
      <rPr>
        <b/>
        <sz val="11"/>
        <color theme="1"/>
        <rFont val="Calibri"/>
        <family val="2"/>
        <scheme val="minor"/>
      </rPr>
      <t>"general"</t>
    </r>
    <r>
      <rPr>
        <sz val="11"/>
        <color theme="1"/>
        <rFont val="Calibri"/>
        <family val="2"/>
        <scheme val="minor"/>
      </rPr>
      <t xml:space="preserve"> model. </t>
    </r>
  </si>
  <si>
    <t>The 8 parameters for "true" probabilities are  free, but they are required to be non-negative and to sum to 1.</t>
  </si>
  <si>
    <t>The General model thus allows parameters in Cells A2:K2 to be free.</t>
  </si>
  <si>
    <t>The reason to use the 8 X 2 partition occurs when the data are not rich enough to allow analysis of the 8 X 8.</t>
  </si>
  <si>
    <t>G2=</t>
  </si>
  <si>
    <t>rows</t>
  </si>
  <si>
    <t>cols</t>
  </si>
  <si>
    <t>SUM</t>
  </si>
  <si>
    <t>Triangle Inequality</t>
  </si>
  <si>
    <t>PREDICTIONS</t>
  </si>
  <si>
    <t>TARGET</t>
  </si>
  <si>
    <t>c2 =</t>
  </si>
  <si>
    <t>p-value</t>
  </si>
  <si>
    <t>Original Date: 9-23-13 Analyses added 7-26-19</t>
  </si>
  <si>
    <t>These correspond to patterns 000, 001, 010, 011, 100, 101, 110, and 111, respectively, in the Birnbaum JDM paper (2013).</t>
  </si>
  <si>
    <t>REFERENCES</t>
  </si>
  <si>
    <t xml:space="preserve">This program was originally published in Birnbaum (2013): </t>
  </si>
  <si>
    <r>
      <t xml:space="preserve">Birnbaum, M. H. (2013). True-and-error models violate independence and yet they are testable. </t>
    </r>
    <r>
      <rPr>
        <i/>
        <sz val="11"/>
        <color theme="1"/>
        <rFont val="Calibri"/>
        <family val="2"/>
        <scheme val="minor"/>
      </rPr>
      <t>Judgment and Decision Making, 8,</t>
    </r>
    <r>
      <rPr>
        <sz val="11"/>
        <color theme="1"/>
        <rFont val="Calibri"/>
        <family val="2"/>
        <scheme val="minor"/>
      </rPr>
      <t xml:space="preserve"> 717-737.</t>
    </r>
  </si>
  <si>
    <t>This version of the program accompanies a paper by Birnbaum and Wan analyzing hypothetical data constructed from MARTER models.  2019</t>
  </si>
  <si>
    <t>Here is a link to find the latest version of that paper:</t>
  </si>
  <si>
    <t>http://psych.fullerton.edu/mbirnbaum/birnbaum.htm#inpress</t>
  </si>
  <si>
    <t>The next worksheets are not active, but contain the results of using the active sheet, labeled "calcs" on the simulated data of Birnbaum and Wan</t>
  </si>
  <si>
    <t>ROW X COLUMN INDEPENDENCE (weaker form that does not assume binary probs but patterns)</t>
  </si>
  <si>
    <t>CHISQ TERMS ROW BY COL INDEPENDENCE</t>
  </si>
  <si>
    <t>ROW BY COL INDEP</t>
  </si>
  <si>
    <t>CHISQ crit 0.05</t>
  </si>
  <si>
    <t xml:space="preserve">CITATION: Birnbaum, M. H. (2013). True-and-error models violate independence and yet they are testable. Judgment and Decision Making, 8, 717-737.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</si>
</sst>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
  </numFmts>
  <fonts count="9" x14ac:knownFonts="1">
    <font>
      <sz val="11"/>
      <color theme="1"/>
      <name val="Calibri"/>
      <family val="2"/>
      <scheme val="minor"/>
    </font>
    <font>
      <sz val="12"/>
      <color theme="1"/>
      <name val="Calibri"/>
      <family val="2"/>
      <charset val="136"/>
      <scheme val="minor"/>
    </font>
    <font>
      <b/>
      <sz val="11"/>
      <color theme="1"/>
      <name val="Calibri"/>
      <family val="2"/>
      <scheme val="minor"/>
    </font>
    <font>
      <u/>
      <sz val="11"/>
      <color theme="10"/>
      <name val="Calibri"/>
      <family val="2"/>
      <scheme val="minor"/>
    </font>
    <font>
      <u/>
      <sz val="11"/>
      <color theme="11"/>
      <name val="Calibri"/>
      <family val="2"/>
      <scheme val="minor"/>
    </font>
    <font>
      <b/>
      <sz val="14"/>
      <color theme="1"/>
      <name val="Calibri"/>
      <scheme val="minor"/>
    </font>
    <font>
      <sz val="14"/>
      <color theme="1"/>
      <name val="Calibri"/>
      <scheme val="minor"/>
    </font>
    <font>
      <sz val="11"/>
      <name val="Calibri"/>
      <scheme val="minor"/>
    </font>
    <font>
      <i/>
      <sz val="11"/>
      <color theme="1"/>
      <name val="Calibri"/>
      <family val="2"/>
      <scheme val="minor"/>
    </font>
  </fonts>
  <fills count="17">
    <fill>
      <patternFill patternType="none"/>
    </fill>
    <fill>
      <patternFill patternType="gray125"/>
    </fill>
    <fill>
      <patternFill patternType="solid">
        <fgColor indexed="13"/>
        <bgColor indexed="64"/>
      </patternFill>
    </fill>
    <fill>
      <patternFill patternType="solid">
        <fgColor indexed="22"/>
        <bgColor indexed="64"/>
      </patternFill>
    </fill>
    <fill>
      <patternFill patternType="solid">
        <fgColor indexed="45"/>
        <bgColor indexed="64"/>
      </patternFill>
    </fill>
    <fill>
      <patternFill patternType="solid">
        <fgColor theme="0" tint="-0.14996795556505021"/>
        <bgColor indexed="64"/>
      </patternFill>
    </fill>
    <fill>
      <patternFill patternType="solid">
        <fgColor rgb="FFFFFF99"/>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5" tint="0.59999389629810485"/>
        <bgColor indexed="64"/>
      </patternFill>
    </fill>
    <fill>
      <patternFill patternType="solid">
        <fgColor theme="9" tint="-0.249977111117893"/>
        <bgColor indexed="64"/>
      </patternFill>
    </fill>
    <fill>
      <patternFill patternType="solid">
        <fgColor theme="6" tint="0.59999389629810485"/>
        <bgColor indexed="64"/>
      </patternFill>
    </fill>
    <fill>
      <patternFill patternType="solid">
        <fgColor theme="0" tint="-0.34998626667073579"/>
        <bgColor indexed="64"/>
      </patternFill>
    </fill>
    <fill>
      <patternFill patternType="solid">
        <fgColor theme="5" tint="0.79998168889431442"/>
        <bgColor indexed="64"/>
      </patternFill>
    </fill>
    <fill>
      <patternFill patternType="solid">
        <fgColor theme="2"/>
        <bgColor indexed="64"/>
      </patternFill>
    </fill>
    <fill>
      <patternFill patternType="solid">
        <fgColor rgb="FFFFFF00"/>
        <bgColor indexed="64"/>
      </patternFill>
    </fill>
  </fills>
  <borders count="2">
    <border>
      <left/>
      <right/>
      <top/>
      <bottom/>
      <diagonal/>
    </border>
    <border>
      <left/>
      <right/>
      <top style="thin">
        <color theme="6" tint="0.79998168889431442"/>
      </top>
      <bottom style="thin">
        <color theme="6" tint="0.79998168889431442"/>
      </bottom>
      <diagonal/>
    </border>
  </borders>
  <cellStyleXfs count="86">
    <xf numFmtId="0" fontId="0" fillId="0" borderId="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cellStyleXfs>
  <cellXfs count="46">
    <xf numFmtId="0" fontId="0" fillId="0" borderId="0" xfId="0"/>
    <xf numFmtId="0" fontId="0" fillId="3" borderId="0" xfId="0" applyFill="1"/>
    <xf numFmtId="0" fontId="0" fillId="4" borderId="0" xfId="0" applyFill="1"/>
    <xf numFmtId="0" fontId="0" fillId="5" borderId="0" xfId="0" applyFill="1"/>
    <xf numFmtId="164" fontId="0" fillId="0" borderId="0" xfId="0" applyNumberFormat="1"/>
    <xf numFmtId="165" fontId="0" fillId="0" borderId="0" xfId="0" applyNumberFormat="1"/>
    <xf numFmtId="0" fontId="0" fillId="0" borderId="0" xfId="0" applyFill="1"/>
    <xf numFmtId="0" fontId="0" fillId="7" borderId="0" xfId="0" applyFill="1"/>
    <xf numFmtId="2" fontId="0" fillId="0" borderId="0" xfId="0" applyNumberFormat="1"/>
    <xf numFmtId="0" fontId="0" fillId="8" borderId="0" xfId="0" applyFill="1"/>
    <xf numFmtId="0" fontId="0" fillId="9" borderId="0" xfId="0" applyFill="1"/>
    <xf numFmtId="0" fontId="0" fillId="10" borderId="0" xfId="0" applyFill="1"/>
    <xf numFmtId="165" fontId="0" fillId="3" borderId="0" xfId="0" applyNumberFormat="1" applyFill="1"/>
    <xf numFmtId="2" fontId="0" fillId="3" borderId="0" xfId="0" applyNumberFormat="1" applyFill="1"/>
    <xf numFmtId="2" fontId="0" fillId="7" borderId="0" xfId="0" applyNumberFormat="1" applyFill="1"/>
    <xf numFmtId="2" fontId="0" fillId="10" borderId="0" xfId="0" applyNumberFormat="1" applyFill="1"/>
    <xf numFmtId="0" fontId="2" fillId="7" borderId="0" xfId="0" applyFont="1" applyFill="1"/>
    <xf numFmtId="0" fontId="2" fillId="3" borderId="0" xfId="0" applyFont="1" applyFill="1"/>
    <xf numFmtId="164" fontId="0" fillId="2" borderId="0" xfId="0" applyNumberFormat="1" applyFill="1"/>
    <xf numFmtId="164" fontId="0" fillId="6" borderId="0" xfId="0" applyNumberFormat="1" applyFill="1"/>
    <xf numFmtId="2" fontId="0" fillId="4" borderId="0" xfId="0" applyNumberFormat="1" applyFill="1"/>
    <xf numFmtId="0" fontId="0" fillId="11" borderId="0" xfId="0" applyFill="1"/>
    <xf numFmtId="1" fontId="0" fillId="0" borderId="0" xfId="0" applyNumberFormat="1"/>
    <xf numFmtId="0" fontId="0" fillId="12" borderId="0" xfId="0" applyFill="1"/>
    <xf numFmtId="0" fontId="0" fillId="0" borderId="0" xfId="0" applyNumberFormat="1"/>
    <xf numFmtId="0" fontId="2" fillId="13" borderId="0" xfId="0" applyFont="1" applyFill="1"/>
    <xf numFmtId="0" fontId="5" fillId="7" borderId="0" xfId="0" applyFont="1" applyFill="1"/>
    <xf numFmtId="0" fontId="6" fillId="7" borderId="0" xfId="0" applyFont="1" applyFill="1"/>
    <xf numFmtId="2" fontId="6" fillId="2" borderId="0" xfId="0" applyNumberFormat="1" applyFont="1" applyFill="1"/>
    <xf numFmtId="0" fontId="6" fillId="3" borderId="0" xfId="0" applyFont="1" applyFill="1"/>
    <xf numFmtId="0" fontId="6" fillId="0" borderId="0" xfId="0" applyFont="1"/>
    <xf numFmtId="165" fontId="6" fillId="4" borderId="0" xfId="0" applyNumberFormat="1" applyFont="1" applyFill="1"/>
    <xf numFmtId="0" fontId="5" fillId="3" borderId="0" xfId="0" applyFont="1" applyFill="1"/>
    <xf numFmtId="164" fontId="6" fillId="0" borderId="0" xfId="0" applyNumberFormat="1" applyFont="1"/>
    <xf numFmtId="0" fontId="0" fillId="0" borderId="1" xfId="0" applyNumberFormat="1" applyFont="1" applyBorder="1"/>
    <xf numFmtId="164" fontId="6" fillId="6" borderId="0" xfId="0" applyNumberFormat="1" applyFont="1" applyFill="1"/>
    <xf numFmtId="0" fontId="6" fillId="0" borderId="0" xfId="0" applyFont="1" applyFill="1"/>
    <xf numFmtId="0" fontId="7" fillId="14" borderId="0" xfId="0" applyFont="1" applyFill="1"/>
    <xf numFmtId="0" fontId="3" fillId="0" borderId="0" xfId="61"/>
    <xf numFmtId="0" fontId="1" fillId="0" borderId="0" xfId="0" applyFont="1"/>
    <xf numFmtId="0" fontId="5" fillId="0" borderId="0" xfId="0" applyFont="1"/>
    <xf numFmtId="1" fontId="0" fillId="15" borderId="0" xfId="0" applyNumberFormat="1" applyFill="1"/>
    <xf numFmtId="0" fontId="0" fillId="15" borderId="0" xfId="0" applyFill="1"/>
    <xf numFmtId="0" fontId="7" fillId="10" borderId="0" xfId="0" applyFont="1" applyFill="1"/>
    <xf numFmtId="0" fontId="2" fillId="0" borderId="0" xfId="0" applyFont="1"/>
    <xf numFmtId="0" fontId="0" fillId="16" borderId="0" xfId="0" applyFill="1"/>
  </cellXfs>
  <cellStyles count="86">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Followed Hyperlink" xfId="82" builtinId="9" hidden="1"/>
    <cellStyle name="Followed Hyperlink" xfId="83" builtinId="9" hidden="1"/>
    <cellStyle name="Followed Hyperlink" xfId="84" builtinId="9" hidden="1"/>
    <cellStyle name="Followed Hyperlink" xfId="85"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cellStyle name="Normal"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1" Type="http://schemas.openxmlformats.org/officeDocument/2006/relationships/theme" Target="theme/theme1.xml"/><Relationship Id="rId12" Type="http://schemas.openxmlformats.org/officeDocument/2006/relationships/styles" Target="styles.xml"/><Relationship Id="rId13" Type="http://schemas.openxmlformats.org/officeDocument/2006/relationships/sharedStrings" Target="sharedStrings.xml"/><Relationship Id="rId14"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 Id="rId9" Type="http://schemas.openxmlformats.org/officeDocument/2006/relationships/worksheet" Target="worksheets/sheet9.xml"/><Relationship Id="rId10" Type="http://schemas.openxmlformats.org/officeDocument/2006/relationships/worksheet" Target="worksheets/sheet10.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psych.fullerton.edu/mbirnbaum/birnbaum.ht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9"/>
  <sheetViews>
    <sheetView workbookViewId="0">
      <selection activeCell="F2" sqref="F2"/>
    </sheetView>
  </sheetViews>
  <sheetFormatPr baseColWidth="10" defaultColWidth="8.83203125" defaultRowHeight="14" x14ac:dyDescent="0"/>
  <sheetData>
    <row r="1" spans="1:13" ht="18">
      <c r="A1" s="40" t="s">
        <v>80</v>
      </c>
      <c r="B1" s="30"/>
      <c r="C1" s="30"/>
      <c r="D1" s="30"/>
      <c r="E1" s="30"/>
      <c r="F1" s="30"/>
      <c r="G1" s="30"/>
      <c r="H1" s="30"/>
      <c r="I1" s="30"/>
      <c r="J1" s="30"/>
      <c r="K1" s="30"/>
      <c r="L1" s="30"/>
      <c r="M1" s="30"/>
    </row>
    <row r="2" spans="1:13" s="44" customFormat="1" ht="18">
      <c r="A2" s="40" t="s">
        <v>104</v>
      </c>
      <c r="B2" s="40"/>
      <c r="C2" s="40"/>
      <c r="D2" s="40"/>
      <c r="E2" s="40"/>
      <c r="F2" s="40"/>
      <c r="G2" s="40" t="s">
        <v>117</v>
      </c>
      <c r="H2" s="40"/>
      <c r="I2" s="40"/>
      <c r="J2" s="40"/>
      <c r="K2" s="40"/>
      <c r="L2" s="40"/>
      <c r="M2" s="40"/>
    </row>
    <row r="3" spans="1:13" ht="18">
      <c r="A3" s="30" t="s">
        <v>71</v>
      </c>
      <c r="B3" s="30"/>
      <c r="C3" s="30"/>
      <c r="D3" s="30"/>
      <c r="E3" s="30"/>
      <c r="F3" s="30"/>
      <c r="G3" s="30" t="s">
        <v>84</v>
      </c>
      <c r="H3" s="30"/>
      <c r="I3" s="30"/>
      <c r="J3" s="30"/>
      <c r="K3" s="30"/>
      <c r="L3" s="30"/>
      <c r="M3" s="30"/>
    </row>
    <row r="5" spans="1:13">
      <c r="A5" t="s">
        <v>72</v>
      </c>
    </row>
    <row r="7" spans="1:13">
      <c r="A7" t="s">
        <v>73</v>
      </c>
    </row>
    <row r="9" spans="1:13">
      <c r="A9" t="s">
        <v>74</v>
      </c>
    </row>
    <row r="11" spans="1:13">
      <c r="A11" t="s">
        <v>75</v>
      </c>
    </row>
    <row r="12" spans="1:13">
      <c r="B12" t="s">
        <v>76</v>
      </c>
    </row>
    <row r="13" spans="1:13">
      <c r="B13" t="s">
        <v>105</v>
      </c>
    </row>
    <row r="14" spans="1:13">
      <c r="B14" t="s">
        <v>77</v>
      </c>
    </row>
    <row r="15" spans="1:13">
      <c r="B15" t="s">
        <v>78</v>
      </c>
    </row>
    <row r="16" spans="1:13">
      <c r="C16" t="s">
        <v>87</v>
      </c>
    </row>
    <row r="18" spans="1:4">
      <c r="A18" t="s">
        <v>79</v>
      </c>
    </row>
    <row r="19" spans="1:4">
      <c r="C19" t="s">
        <v>94</v>
      </c>
    </row>
    <row r="20" spans="1:4">
      <c r="A20" t="s">
        <v>88</v>
      </c>
    </row>
    <row r="21" spans="1:4">
      <c r="D21" t="s">
        <v>81</v>
      </c>
    </row>
    <row r="23" spans="1:4">
      <c r="A23" t="s">
        <v>89</v>
      </c>
    </row>
    <row r="25" spans="1:4">
      <c r="A25" t="s">
        <v>90</v>
      </c>
    </row>
    <row r="26" spans="1:4">
      <c r="B26" t="s">
        <v>82</v>
      </c>
    </row>
    <row r="27" spans="1:4">
      <c r="B27" t="s">
        <v>91</v>
      </c>
    </row>
    <row r="28" spans="1:4">
      <c r="C28" t="s">
        <v>92</v>
      </c>
    </row>
    <row r="29" spans="1:4">
      <c r="C29" t="s">
        <v>83</v>
      </c>
    </row>
    <row r="30" spans="1:4">
      <c r="C30" t="s">
        <v>93</v>
      </c>
    </row>
    <row r="32" spans="1:4">
      <c r="A32" t="s">
        <v>106</v>
      </c>
    </row>
    <row r="34" spans="2:3">
      <c r="B34" t="s">
        <v>107</v>
      </c>
    </row>
    <row r="35" spans="2:3">
      <c r="B35" t="s">
        <v>108</v>
      </c>
    </row>
    <row r="37" spans="2:3">
      <c r="B37" t="s">
        <v>109</v>
      </c>
    </row>
    <row r="38" spans="2:3">
      <c r="C38" t="s">
        <v>110</v>
      </c>
    </row>
    <row r="39" spans="2:3">
      <c r="C39" s="38" t="s">
        <v>111</v>
      </c>
    </row>
  </sheetData>
  <hyperlinks>
    <hyperlink ref="C39" r:id="rId1" location="inpress"/>
  </hyperlinks>
  <pageMargins left="0.7" right="0.7" top="0.75" bottom="0.75" header="0.3" footer="0.3"/>
  <pageSetup orientation="portrait"/>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48"/>
  <sheetViews>
    <sheetView workbookViewId="0">
      <selection activeCell="D2" sqref="D2:K2"/>
    </sheetView>
  </sheetViews>
  <sheetFormatPr baseColWidth="10" defaultRowHeight="14" x14ac:dyDescent="0"/>
  <sheetData>
    <row r="1" spans="1:29">
      <c r="A1" s="16" t="s">
        <v>0</v>
      </c>
      <c r="B1" s="16" t="s">
        <v>1</v>
      </c>
      <c r="C1" s="16" t="s">
        <v>2</v>
      </c>
      <c r="D1" s="16" t="s">
        <v>3</v>
      </c>
      <c r="E1" s="16" t="s">
        <v>4</v>
      </c>
      <c r="F1" s="16" t="s">
        <v>5</v>
      </c>
      <c r="G1" s="16" t="s">
        <v>6</v>
      </c>
      <c r="H1" s="25" t="s">
        <v>7</v>
      </c>
      <c r="I1" s="25" t="s">
        <v>8</v>
      </c>
      <c r="J1" s="25" t="s">
        <v>9</v>
      </c>
      <c r="K1" s="16" t="s">
        <v>10</v>
      </c>
      <c r="L1" s="7"/>
      <c r="M1" s="7"/>
      <c r="N1" s="7"/>
      <c r="O1" s="7"/>
      <c r="P1" s="7"/>
      <c r="Q1" s="7"/>
      <c r="R1" s="7"/>
      <c r="S1" s="7"/>
      <c r="T1" s="7"/>
      <c r="U1" s="7"/>
      <c r="V1" s="7"/>
      <c r="W1" s="7"/>
      <c r="X1" s="7"/>
      <c r="Y1" s="7"/>
      <c r="Z1" s="7"/>
      <c r="AA1" s="7"/>
      <c r="AB1" s="7"/>
      <c r="AC1" s="7"/>
    </row>
    <row r="2" spans="1:29">
      <c r="A2" s="18">
        <v>0.33740636577929761</v>
      </c>
      <c r="B2" s="18">
        <v>0.34903868609906585</v>
      </c>
      <c r="C2" s="18">
        <v>0.34629392668297282</v>
      </c>
      <c r="D2" s="18">
        <v>2.1153296709904609E-2</v>
      </c>
      <c r="E2" s="18">
        <v>0</v>
      </c>
      <c r="F2" s="18">
        <v>5.1145571656920448E-3</v>
      </c>
      <c r="G2" s="18">
        <v>0</v>
      </c>
      <c r="H2" s="18">
        <v>1.1498680375299332E-2</v>
      </c>
      <c r="I2" s="18">
        <v>2.1574609682742732E-3</v>
      </c>
      <c r="J2" s="18">
        <v>0.95851556076763444</v>
      </c>
      <c r="K2" s="18">
        <v>1.5604482776814649E-3</v>
      </c>
      <c r="L2" s="1">
        <v>1.0000000042644861</v>
      </c>
      <c r="N2" t="s">
        <v>36</v>
      </c>
      <c r="O2" s="4">
        <v>0.65059999999999996</v>
      </c>
      <c r="P2" s="4">
        <v>0.65820000000000001</v>
      </c>
      <c r="S2" s="4">
        <v>0.65439999999999998</v>
      </c>
      <c r="Y2" t="s">
        <v>85</v>
      </c>
      <c r="AC2" s="7"/>
    </row>
    <row r="3" spans="1:29">
      <c r="A3" t="s">
        <v>95</v>
      </c>
      <c r="B3" s="20">
        <v>45.047505759359197</v>
      </c>
      <c r="C3" s="17" t="s">
        <v>12</v>
      </c>
      <c r="D3" s="1" t="s">
        <v>13</v>
      </c>
      <c r="E3" s="1" t="s">
        <v>14</v>
      </c>
      <c r="F3" s="1" t="s">
        <v>15</v>
      </c>
      <c r="G3" s="1" t="s">
        <v>16</v>
      </c>
      <c r="H3" s="1" t="s">
        <v>17</v>
      </c>
      <c r="I3" s="1" t="s">
        <v>18</v>
      </c>
      <c r="J3" s="1" t="s">
        <v>19</v>
      </c>
      <c r="K3" s="1" t="s">
        <v>20</v>
      </c>
      <c r="L3" s="1"/>
      <c r="N3" t="s">
        <v>37</v>
      </c>
      <c r="O3" s="4">
        <v>0.64029999999999998</v>
      </c>
      <c r="P3" s="4">
        <v>0.64100000000000001</v>
      </c>
      <c r="Q3" t="s">
        <v>55</v>
      </c>
      <c r="S3" s="4">
        <v>0.64064999999999994</v>
      </c>
      <c r="Y3" s="1" t="s">
        <v>12</v>
      </c>
      <c r="Z3" t="s">
        <v>47</v>
      </c>
      <c r="AA3" t="s">
        <v>48</v>
      </c>
      <c r="AB3" t="s">
        <v>49</v>
      </c>
      <c r="AC3" s="7"/>
    </row>
    <row r="4" spans="1:29">
      <c r="A4" t="s">
        <v>21</v>
      </c>
      <c r="B4">
        <v>0.77312285948631487</v>
      </c>
      <c r="C4" s="1" t="s">
        <v>13</v>
      </c>
      <c r="D4" s="34">
        <v>81</v>
      </c>
      <c r="E4" s="34">
        <v>32</v>
      </c>
      <c r="F4" s="34">
        <v>118</v>
      </c>
      <c r="G4" s="34">
        <v>68</v>
      </c>
      <c r="H4" s="34">
        <v>114</v>
      </c>
      <c r="I4" s="34">
        <v>69</v>
      </c>
      <c r="J4" s="34">
        <v>218</v>
      </c>
      <c r="K4" s="34">
        <v>100</v>
      </c>
      <c r="L4" s="1">
        <v>800</v>
      </c>
      <c r="N4" t="s">
        <v>38</v>
      </c>
      <c r="O4" s="4">
        <v>0.34720000000000001</v>
      </c>
      <c r="P4" s="4">
        <v>0.34699999999999998</v>
      </c>
      <c r="Q4" t="s">
        <v>56</v>
      </c>
      <c r="S4" s="4">
        <v>0.34709999999999996</v>
      </c>
      <c r="T4" t="s">
        <v>44</v>
      </c>
      <c r="V4" t="s">
        <v>57</v>
      </c>
      <c r="Y4" s="1" t="s">
        <v>13</v>
      </c>
      <c r="Z4">
        <v>800</v>
      </c>
      <c r="AA4">
        <v>81</v>
      </c>
      <c r="AB4">
        <v>719</v>
      </c>
      <c r="AC4" s="7"/>
    </row>
    <row r="5" spans="1:29">
      <c r="C5" s="1" t="s">
        <v>14</v>
      </c>
      <c r="D5" s="34">
        <v>42</v>
      </c>
      <c r="E5" s="34">
        <v>22</v>
      </c>
      <c r="F5" s="34">
        <v>73</v>
      </c>
      <c r="G5" s="34">
        <v>35</v>
      </c>
      <c r="H5" s="34">
        <v>78</v>
      </c>
      <c r="I5" s="34">
        <v>31</v>
      </c>
      <c r="J5" s="34">
        <v>134</v>
      </c>
      <c r="K5" s="34">
        <v>56</v>
      </c>
      <c r="L5" s="1">
        <v>471</v>
      </c>
      <c r="M5" s="10" t="s">
        <v>39</v>
      </c>
      <c r="N5" s="10">
        <v>1</v>
      </c>
      <c r="O5" s="10">
        <v>2</v>
      </c>
      <c r="P5" s="10" t="s">
        <v>39</v>
      </c>
      <c r="Q5" s="10">
        <v>1</v>
      </c>
      <c r="R5" s="10">
        <v>2</v>
      </c>
      <c r="S5" s="10" t="s">
        <v>39</v>
      </c>
      <c r="T5" s="10">
        <v>1</v>
      </c>
      <c r="U5" s="10">
        <v>2</v>
      </c>
      <c r="V5" s="10" t="s">
        <v>11</v>
      </c>
      <c r="W5" t="s">
        <v>42</v>
      </c>
      <c r="X5" t="s">
        <v>43</v>
      </c>
      <c r="Y5" s="1" t="s">
        <v>14</v>
      </c>
      <c r="Z5">
        <v>471</v>
      </c>
      <c r="AA5">
        <v>22</v>
      </c>
      <c r="AB5">
        <v>449</v>
      </c>
      <c r="AC5" s="7"/>
    </row>
    <row r="6" spans="1:29">
      <c r="A6" t="s">
        <v>22</v>
      </c>
      <c r="B6" s="19">
        <v>0.33740636577929761</v>
      </c>
      <c r="C6" s="1" t="s">
        <v>15</v>
      </c>
      <c r="D6" s="34">
        <v>112</v>
      </c>
      <c r="E6" s="34">
        <v>70</v>
      </c>
      <c r="F6" s="34">
        <v>219</v>
      </c>
      <c r="G6" s="34">
        <v>102</v>
      </c>
      <c r="H6" s="34">
        <v>223</v>
      </c>
      <c r="I6" s="34">
        <v>114</v>
      </c>
      <c r="J6" s="34">
        <v>417</v>
      </c>
      <c r="K6" s="34">
        <v>212</v>
      </c>
      <c r="L6" s="1">
        <v>1469</v>
      </c>
      <c r="M6" s="10">
        <v>1</v>
      </c>
      <c r="N6">
        <v>1222</v>
      </c>
      <c r="O6">
        <v>2272</v>
      </c>
      <c r="P6" s="10">
        <v>1</v>
      </c>
      <c r="Q6">
        <v>1194.2492</v>
      </c>
      <c r="R6">
        <v>2299.7507999999998</v>
      </c>
      <c r="S6" s="10">
        <v>1</v>
      </c>
      <c r="T6">
        <v>0.64484606783910892</v>
      </c>
      <c r="U6">
        <v>0.33486536916955917</v>
      </c>
      <c r="V6" s="23">
        <v>1.5058583415442119</v>
      </c>
      <c r="W6">
        <v>0.7802278439678596</v>
      </c>
      <c r="X6" s="23">
        <v>0.2197721560321404</v>
      </c>
      <c r="Y6" s="1" t="s">
        <v>15</v>
      </c>
      <c r="Z6">
        <v>1469</v>
      </c>
      <c r="AA6">
        <v>219</v>
      </c>
      <c r="AB6">
        <v>1250</v>
      </c>
      <c r="AC6" s="7"/>
    </row>
    <row r="7" spans="1:29">
      <c r="A7" t="s">
        <v>23</v>
      </c>
      <c r="B7" s="19">
        <v>0.34903868609906585</v>
      </c>
      <c r="C7" s="1" t="s">
        <v>16</v>
      </c>
      <c r="D7" s="34">
        <v>65</v>
      </c>
      <c r="E7" s="34">
        <v>35</v>
      </c>
      <c r="F7" s="34">
        <v>94</v>
      </c>
      <c r="G7" s="34">
        <v>54</v>
      </c>
      <c r="H7" s="34">
        <v>114</v>
      </c>
      <c r="I7" s="34">
        <v>59</v>
      </c>
      <c r="J7" s="34">
        <v>199</v>
      </c>
      <c r="K7" s="34">
        <v>134</v>
      </c>
      <c r="L7" s="1">
        <v>754</v>
      </c>
      <c r="M7" s="10">
        <v>2</v>
      </c>
      <c r="N7">
        <v>2196</v>
      </c>
      <c r="O7">
        <v>4310</v>
      </c>
      <c r="P7" s="10">
        <v>2</v>
      </c>
      <c r="Q7">
        <v>2223.7507999999998</v>
      </c>
      <c r="R7">
        <v>4282.2492000000002</v>
      </c>
      <c r="S7" s="10">
        <v>2</v>
      </c>
      <c r="T7">
        <v>0.3463098925652951</v>
      </c>
      <c r="U7">
        <v>0.17983701197024893</v>
      </c>
      <c r="Y7" s="1" t="s">
        <v>16</v>
      </c>
      <c r="Z7">
        <v>754</v>
      </c>
      <c r="AA7">
        <v>54</v>
      </c>
      <c r="AB7">
        <v>700</v>
      </c>
      <c r="AC7" s="7"/>
    </row>
    <row r="8" spans="1:29">
      <c r="A8" t="s">
        <v>24</v>
      </c>
      <c r="B8" s="19">
        <v>0.34629392668297282</v>
      </c>
      <c r="C8" s="1" t="s">
        <v>17</v>
      </c>
      <c r="D8" s="34">
        <v>126</v>
      </c>
      <c r="E8" s="34">
        <v>62</v>
      </c>
      <c r="F8" s="34">
        <v>225</v>
      </c>
      <c r="G8" s="34">
        <v>126</v>
      </c>
      <c r="H8" s="34">
        <v>241</v>
      </c>
      <c r="I8" s="34">
        <v>125</v>
      </c>
      <c r="J8" s="34">
        <v>384</v>
      </c>
      <c r="K8" s="34">
        <v>204</v>
      </c>
      <c r="L8" s="1">
        <v>1493</v>
      </c>
      <c r="M8" s="10" t="s">
        <v>40</v>
      </c>
      <c r="N8">
        <v>1</v>
      </c>
      <c r="O8">
        <v>2</v>
      </c>
      <c r="P8" s="10" t="s">
        <v>40</v>
      </c>
      <c r="S8" s="10" t="s">
        <v>40</v>
      </c>
      <c r="Y8" s="1" t="s">
        <v>17</v>
      </c>
      <c r="Z8">
        <v>1493</v>
      </c>
      <c r="AA8">
        <v>241</v>
      </c>
      <c r="AB8">
        <v>1252</v>
      </c>
      <c r="AC8" s="7"/>
    </row>
    <row r="9" spans="1:29">
      <c r="C9" s="1" t="s">
        <v>18</v>
      </c>
      <c r="D9" s="34">
        <v>69</v>
      </c>
      <c r="E9" s="34">
        <v>34</v>
      </c>
      <c r="F9" s="34">
        <v>102</v>
      </c>
      <c r="G9" s="34">
        <v>64</v>
      </c>
      <c r="H9" s="34">
        <v>127</v>
      </c>
      <c r="I9" s="34">
        <v>69</v>
      </c>
      <c r="J9" s="34">
        <v>240</v>
      </c>
      <c r="K9" s="34">
        <v>128</v>
      </c>
      <c r="L9" s="1">
        <v>833</v>
      </c>
      <c r="M9" s="10">
        <v>1</v>
      </c>
      <c r="N9">
        <v>1322</v>
      </c>
      <c r="O9">
        <v>2275</v>
      </c>
      <c r="P9" s="10">
        <v>1</v>
      </c>
      <c r="Q9">
        <v>1291.3230000000001</v>
      </c>
      <c r="R9">
        <v>2305.6770000000001</v>
      </c>
      <c r="S9" s="10">
        <v>1</v>
      </c>
      <c r="T9">
        <v>0.72877067085461511</v>
      </c>
      <c r="U9">
        <v>0.40815705278753622</v>
      </c>
      <c r="V9" s="23">
        <v>1.7756172476060454</v>
      </c>
      <c r="W9">
        <v>0.81731157456180603</v>
      </c>
      <c r="X9" s="23">
        <v>0.18268842543819397</v>
      </c>
      <c r="Y9" s="1" t="s">
        <v>18</v>
      </c>
      <c r="Z9">
        <v>833</v>
      </c>
      <c r="AA9">
        <v>69</v>
      </c>
      <c r="AB9">
        <v>764</v>
      </c>
      <c r="AC9" s="7"/>
    </row>
    <row r="10" spans="1:29">
      <c r="A10" s="7"/>
      <c r="C10" s="1" t="s">
        <v>19</v>
      </c>
      <c r="D10" s="34">
        <v>194</v>
      </c>
      <c r="E10" s="34">
        <v>125</v>
      </c>
      <c r="F10" s="34">
        <v>389</v>
      </c>
      <c r="G10" s="34">
        <v>208</v>
      </c>
      <c r="H10" s="34">
        <v>415</v>
      </c>
      <c r="I10" s="34">
        <v>229</v>
      </c>
      <c r="J10" s="34">
        <v>790</v>
      </c>
      <c r="K10" s="34">
        <v>416</v>
      </c>
      <c r="L10" s="1">
        <v>2766</v>
      </c>
      <c r="M10" s="10">
        <v>2</v>
      </c>
      <c r="N10">
        <v>2268</v>
      </c>
      <c r="O10">
        <v>4135</v>
      </c>
      <c r="P10" s="10">
        <v>2</v>
      </c>
      <c r="Q10">
        <v>2298.6770000000001</v>
      </c>
      <c r="R10">
        <v>4104.3230000000003</v>
      </c>
      <c r="S10" s="10">
        <v>2</v>
      </c>
      <c r="T10">
        <v>0.40939998486086049</v>
      </c>
      <c r="U10">
        <v>0.22928953910303362</v>
      </c>
      <c r="Y10" s="1" t="s">
        <v>19</v>
      </c>
      <c r="Z10">
        <v>2766</v>
      </c>
      <c r="AA10">
        <v>790</v>
      </c>
      <c r="AB10">
        <v>1976</v>
      </c>
      <c r="AC10" s="7"/>
    </row>
    <row r="11" spans="1:29">
      <c r="A11" s="7">
        <v>0</v>
      </c>
      <c r="B11" s="6">
        <v>0</v>
      </c>
      <c r="C11" s="1" t="s">
        <v>20</v>
      </c>
      <c r="D11" s="34">
        <v>121</v>
      </c>
      <c r="E11" s="34">
        <v>64</v>
      </c>
      <c r="F11" s="34">
        <v>189</v>
      </c>
      <c r="G11" s="34">
        <v>98</v>
      </c>
      <c r="H11" s="34">
        <v>211</v>
      </c>
      <c r="I11" s="34">
        <v>117</v>
      </c>
      <c r="J11" s="34">
        <v>406</v>
      </c>
      <c r="K11" s="34">
        <v>208</v>
      </c>
      <c r="L11" s="1">
        <v>1414</v>
      </c>
      <c r="M11" s="10" t="s">
        <v>41</v>
      </c>
      <c r="N11">
        <v>1</v>
      </c>
      <c r="O11">
        <v>2</v>
      </c>
      <c r="P11" s="10" t="s">
        <v>41</v>
      </c>
      <c r="S11" s="10" t="s">
        <v>41</v>
      </c>
      <c r="Y11" s="1" t="s">
        <v>20</v>
      </c>
      <c r="Z11">
        <v>1414</v>
      </c>
      <c r="AA11">
        <v>208</v>
      </c>
      <c r="AB11">
        <v>1206</v>
      </c>
      <c r="AC11" s="7"/>
    </row>
    <row r="12" spans="1:29">
      <c r="A12" s="7"/>
      <c r="B12" s="6"/>
      <c r="C12" s="1"/>
      <c r="D12" s="1">
        <v>810</v>
      </c>
      <c r="E12" s="1">
        <v>444</v>
      </c>
      <c r="F12" s="1">
        <v>1409</v>
      </c>
      <c r="G12" s="1">
        <v>755</v>
      </c>
      <c r="H12" s="1">
        <v>1523</v>
      </c>
      <c r="I12" s="1">
        <v>813</v>
      </c>
      <c r="J12" s="1">
        <v>2788</v>
      </c>
      <c r="K12" s="1">
        <v>1458</v>
      </c>
      <c r="L12" s="1">
        <v>10000</v>
      </c>
      <c r="M12" s="10">
        <v>1</v>
      </c>
      <c r="N12">
        <v>4266</v>
      </c>
      <c r="O12">
        <v>2262</v>
      </c>
      <c r="P12" s="10">
        <v>1</v>
      </c>
      <c r="Q12">
        <v>4262.7839999999997</v>
      </c>
      <c r="R12">
        <v>2265.2159999999999</v>
      </c>
      <c r="S12" s="10">
        <v>1</v>
      </c>
      <c r="T12">
        <v>2.4262679037929786E-3</v>
      </c>
      <c r="U12">
        <v>4.5658586201048033E-3</v>
      </c>
      <c r="V12" s="23">
        <v>2.0138613260072963E-2</v>
      </c>
      <c r="W12">
        <v>0.11284936424706223</v>
      </c>
      <c r="X12" s="23">
        <v>0.88715063575293773</v>
      </c>
      <c r="Y12" s="1" t="s">
        <v>46</v>
      </c>
      <c r="Z12" s="7">
        <v>10000</v>
      </c>
      <c r="AA12" s="7">
        <v>1684</v>
      </c>
      <c r="AB12" s="7">
        <v>8316</v>
      </c>
      <c r="AC12" s="7"/>
    </row>
    <row r="13" spans="1:29">
      <c r="A13" s="7"/>
      <c r="C13" s="1" t="s">
        <v>25</v>
      </c>
      <c r="D13" s="4">
        <v>5.9643486113421466E-3</v>
      </c>
      <c r="E13" s="4">
        <v>3.159551035295559E-3</v>
      </c>
      <c r="F13" s="4">
        <v>3.1980216923558464E-3</v>
      </c>
      <c r="G13" s="4">
        <v>1.6941184037709718E-3</v>
      </c>
      <c r="H13" s="4">
        <v>3.0371695187814672E-3</v>
      </c>
      <c r="I13" s="4">
        <v>1.6089086541966413E-3</v>
      </c>
      <c r="J13" s="4">
        <v>1.6284987074622747E-3</v>
      </c>
      <c r="K13" s="4">
        <v>8.6268008669970525E-4</v>
      </c>
      <c r="M13" s="10">
        <v>2</v>
      </c>
      <c r="N13">
        <v>2264</v>
      </c>
      <c r="O13">
        <v>1208</v>
      </c>
      <c r="P13" s="10">
        <v>2</v>
      </c>
      <c r="Q13">
        <v>2267.2159999999999</v>
      </c>
      <c r="R13">
        <v>1204.7840000000001</v>
      </c>
      <c r="S13" s="10">
        <v>2</v>
      </c>
      <c r="T13">
        <v>4.5618308974527885E-3</v>
      </c>
      <c r="U13">
        <v>8.5846558387223937E-3</v>
      </c>
      <c r="AC13" s="7"/>
    </row>
    <row r="14" spans="1:29">
      <c r="A14" s="7"/>
      <c r="C14" s="1"/>
      <c r="D14" s="1" t="s">
        <v>13</v>
      </c>
      <c r="E14" s="1" t="s">
        <v>14</v>
      </c>
      <c r="F14" s="1" t="s">
        <v>15</v>
      </c>
      <c r="G14" s="1" t="s">
        <v>16</v>
      </c>
      <c r="H14" s="1" t="s">
        <v>17</v>
      </c>
      <c r="I14" s="1" t="s">
        <v>18</v>
      </c>
      <c r="J14" s="1" t="s">
        <v>19</v>
      </c>
      <c r="K14" s="1" t="s">
        <v>20</v>
      </c>
      <c r="L14" s="1"/>
      <c r="V14" s="7"/>
      <c r="W14" s="7"/>
      <c r="X14" s="7"/>
      <c r="Y14" s="7"/>
      <c r="Z14" s="7"/>
      <c r="AA14" s="7"/>
      <c r="AB14" s="7"/>
      <c r="AC14" s="7"/>
    </row>
    <row r="15" spans="1:29">
      <c r="A15" s="7"/>
      <c r="B15" s="4">
        <v>0.28195834876884507</v>
      </c>
      <c r="C15" s="1" t="s">
        <v>13</v>
      </c>
      <c r="D15" s="4">
        <v>1.6816978859357857E-3</v>
      </c>
      <c r="E15" s="4">
        <v>8.908617927628307E-4</v>
      </c>
      <c r="F15" s="4">
        <v>9.017089157036019E-4</v>
      </c>
      <c r="G15" s="4">
        <v>4.7767082774617474E-4</v>
      </c>
      <c r="H15" s="4">
        <v>8.5635530244669025E-4</v>
      </c>
      <c r="I15" s="4">
        <v>4.5364522745718972E-4</v>
      </c>
      <c r="J15" s="4">
        <v>4.5916880652826142E-4</v>
      </c>
      <c r="K15" s="4">
        <v>2.43239852761613E-4</v>
      </c>
      <c r="AC15" s="7"/>
    </row>
    <row r="16" spans="1:29">
      <c r="A16" s="7"/>
      <c r="B16" s="4">
        <v>0.14936447394585839</v>
      </c>
      <c r="C16" s="1" t="s">
        <v>14</v>
      </c>
      <c r="D16" s="4">
        <v>8.908617927628307E-4</v>
      </c>
      <c r="E16" s="4">
        <v>4.7192467829201341E-4</v>
      </c>
      <c r="F16" s="4">
        <v>4.7767082774617474E-4</v>
      </c>
      <c r="G16" s="4">
        <v>2.530411041812485E-4</v>
      </c>
      <c r="H16" s="4">
        <v>4.5364522745718972E-4</v>
      </c>
      <c r="I16" s="4">
        <v>2.4031379476102032E-4</v>
      </c>
      <c r="J16" s="4">
        <v>2.43239852761613E-4</v>
      </c>
      <c r="K16" s="4">
        <v>1.2885375733346898E-4</v>
      </c>
      <c r="O16" s="8" t="s">
        <v>11</v>
      </c>
      <c r="P16">
        <v>75.7</v>
      </c>
      <c r="AC16" s="7"/>
    </row>
    <row r="17" spans="1:29">
      <c r="A17" s="7"/>
      <c r="B17" s="4">
        <v>0.15118313406242895</v>
      </c>
      <c r="C17" s="1" t="s">
        <v>15</v>
      </c>
      <c r="D17" s="4">
        <v>9.0170891570360168E-4</v>
      </c>
      <c r="E17" s="4">
        <v>4.7767082774617469E-4</v>
      </c>
      <c r="F17" s="4">
        <v>4.8348694224998982E-4</v>
      </c>
      <c r="G17" s="4">
        <v>2.5612212975493494E-4</v>
      </c>
      <c r="H17" s="4">
        <v>4.5916880652826136E-4</v>
      </c>
      <c r="I17" s="4">
        <v>2.4323985276161297E-4</v>
      </c>
      <c r="J17" s="4">
        <v>2.4620153841076132E-4</v>
      </c>
      <c r="K17" s="4">
        <v>1.3042267920050936E-4</v>
      </c>
      <c r="O17" t="s">
        <v>103</v>
      </c>
      <c r="P17">
        <v>4.9392389975987223E-2</v>
      </c>
      <c r="AC17" s="7"/>
    </row>
    <row r="18" spans="1:29">
      <c r="A18" s="7"/>
      <c r="B18" s="4">
        <v>8.0087677443570038E-2</v>
      </c>
      <c r="C18" s="1" t="s">
        <v>16</v>
      </c>
      <c r="D18" s="4">
        <v>4.7767082774617469E-4</v>
      </c>
      <c r="E18" s="4">
        <v>2.530411041812485E-4</v>
      </c>
      <c r="F18" s="4">
        <v>2.56122129754935E-4</v>
      </c>
      <c r="G18" s="4">
        <v>1.3567800827242533E-4</v>
      </c>
      <c r="H18" s="4">
        <v>2.4323985276161297E-4</v>
      </c>
      <c r="I18" s="4">
        <v>1.2885375733346898E-4</v>
      </c>
      <c r="J18" s="4">
        <v>1.3042267920050939E-4</v>
      </c>
      <c r="K18" s="4">
        <v>6.9090044520597025E-5</v>
      </c>
      <c r="AC18" s="7"/>
    </row>
    <row r="19" spans="1:29">
      <c r="A19" s="7"/>
      <c r="B19" s="4">
        <v>0.1435790156226274</v>
      </c>
      <c r="C19" s="1" t="s">
        <v>17</v>
      </c>
      <c r="D19" s="4">
        <v>8.5635530244669014E-4</v>
      </c>
      <c r="E19" s="4">
        <v>4.5364522745718966E-4</v>
      </c>
      <c r="F19" s="4">
        <v>4.5916880652826136E-4</v>
      </c>
      <c r="G19" s="4">
        <v>2.4323985276161294E-4</v>
      </c>
      <c r="H19" s="4">
        <v>4.3607380978569199E-4</v>
      </c>
      <c r="I19" s="4">
        <v>2.3100552079627999E-4</v>
      </c>
      <c r="J19" s="4">
        <v>2.3381824136015447E-4</v>
      </c>
      <c r="K19" s="4">
        <v>1.2386275764558654E-4</v>
      </c>
      <c r="AC19" s="7"/>
    </row>
    <row r="20" spans="1:29">
      <c r="A20" s="7"/>
      <c r="B20" s="4">
        <v>7.605947556360336E-2</v>
      </c>
      <c r="C20" s="1" t="s">
        <v>18</v>
      </c>
      <c r="D20" s="4">
        <v>4.5364522745718961E-4</v>
      </c>
      <c r="E20" s="4">
        <v>2.4031379476102026E-4</v>
      </c>
      <c r="F20" s="4">
        <v>2.4323985276161297E-4</v>
      </c>
      <c r="G20" s="4">
        <v>1.2885375733346898E-4</v>
      </c>
      <c r="H20" s="4">
        <v>2.3100552079627996E-4</v>
      </c>
      <c r="I20" s="4">
        <v>1.2237274846793941E-4</v>
      </c>
      <c r="J20" s="4">
        <v>1.2386275764558654E-4</v>
      </c>
      <c r="K20" s="4">
        <v>6.5614994973543455E-5</v>
      </c>
      <c r="AC20" s="7"/>
    </row>
    <row r="21" spans="1:29">
      <c r="A21" s="7"/>
      <c r="B21" s="4">
        <v>7.6985574863125836E-2</v>
      </c>
      <c r="C21" s="1" t="s">
        <v>19</v>
      </c>
      <c r="D21" s="4">
        <v>4.5916880652826142E-4</v>
      </c>
      <c r="E21" s="4">
        <v>2.43239852761613E-4</v>
      </c>
      <c r="F21" s="4">
        <v>2.4620153841076138E-4</v>
      </c>
      <c r="G21" s="4">
        <v>1.3042267920050939E-4</v>
      </c>
      <c r="H21" s="4">
        <v>2.3381824136015452E-4</v>
      </c>
      <c r="I21" s="4">
        <v>1.2386275764558657E-4</v>
      </c>
      <c r="J21" s="4">
        <v>1.2537090915784062E-4</v>
      </c>
      <c r="K21" s="4">
        <v>6.6413922397548047E-5</v>
      </c>
      <c r="M21" t="s">
        <v>62</v>
      </c>
      <c r="AC21" s="7"/>
    </row>
    <row r="22" spans="1:29">
      <c r="A22" s="7"/>
      <c r="B22" s="4">
        <v>4.0782299729941032E-2</v>
      </c>
      <c r="C22" s="1" t="s">
        <v>20</v>
      </c>
      <c r="D22" s="4">
        <v>2.43239852761613E-4</v>
      </c>
      <c r="E22" s="4">
        <v>1.2885375733346898E-4</v>
      </c>
      <c r="F22" s="4">
        <v>1.3042267920050939E-4</v>
      </c>
      <c r="G22" s="4">
        <v>6.9090044520597039E-5</v>
      </c>
      <c r="H22" s="4">
        <v>1.2386275764558657E-4</v>
      </c>
      <c r="I22" s="4">
        <v>6.5614994973543482E-5</v>
      </c>
      <c r="J22" s="4">
        <v>6.6413922397548047E-5</v>
      </c>
      <c r="K22" s="4">
        <v>3.5182077866838895E-5</v>
      </c>
      <c r="AC22" s="7"/>
    </row>
    <row r="23" spans="1:29">
      <c r="A23" s="7"/>
      <c r="AC23" s="7"/>
    </row>
    <row r="24" spans="1:29">
      <c r="A24" s="7"/>
      <c r="C24" s="1" t="s">
        <v>26</v>
      </c>
      <c r="D24" s="4">
        <v>0</v>
      </c>
      <c r="E24" s="4">
        <v>0</v>
      </c>
      <c r="F24" s="4">
        <v>0</v>
      </c>
      <c r="G24" s="4">
        <v>0</v>
      </c>
      <c r="H24" s="4">
        <v>0</v>
      </c>
      <c r="I24" s="4">
        <v>0</v>
      </c>
      <c r="J24" s="4">
        <v>0</v>
      </c>
      <c r="K24" s="4">
        <v>0</v>
      </c>
      <c r="O24">
        <v>8.0127148599999989E-2</v>
      </c>
      <c r="P24">
        <v>4.2579051399999991E-2</v>
      </c>
      <c r="Q24">
        <v>0.14306825140000001</v>
      </c>
      <c r="R24">
        <v>7.6025548599999992E-2</v>
      </c>
      <c r="S24">
        <v>0.15429985139999999</v>
      </c>
      <c r="T24">
        <v>8.1993948599999991E-2</v>
      </c>
      <c r="U24">
        <v>0.27550474860000002</v>
      </c>
      <c r="V24">
        <v>0.14640145139999999</v>
      </c>
      <c r="AC24" s="7"/>
    </row>
    <row r="25" spans="1:29">
      <c r="A25" s="7"/>
      <c r="C25" s="1"/>
      <c r="D25" s="1" t="s">
        <v>13</v>
      </c>
      <c r="E25" s="1" t="s">
        <v>14</v>
      </c>
      <c r="F25" s="1" t="s">
        <v>15</v>
      </c>
      <c r="G25" s="1" t="s">
        <v>16</v>
      </c>
      <c r="H25" s="1" t="s">
        <v>17</v>
      </c>
      <c r="I25" s="1" t="s">
        <v>18</v>
      </c>
      <c r="J25" s="1" t="s">
        <v>19</v>
      </c>
      <c r="K25" s="1" t="s">
        <v>20</v>
      </c>
      <c r="L25" s="1"/>
      <c r="N25" s="7"/>
      <c r="O25" s="1" t="s">
        <v>13</v>
      </c>
      <c r="P25" s="1" t="s">
        <v>14</v>
      </c>
      <c r="Q25" s="1" t="s">
        <v>15</v>
      </c>
      <c r="R25" s="1" t="s">
        <v>16</v>
      </c>
      <c r="S25" s="1" t="s">
        <v>17</v>
      </c>
      <c r="T25" s="1" t="s">
        <v>18</v>
      </c>
      <c r="U25" s="1" t="s">
        <v>19</v>
      </c>
      <c r="V25" s="1" t="s">
        <v>20</v>
      </c>
      <c r="AC25" s="7"/>
    </row>
    <row r="26" spans="1:29">
      <c r="A26" s="7"/>
      <c r="B26" s="4">
        <v>0.14936447394585839</v>
      </c>
      <c r="C26" s="1" t="s">
        <v>13</v>
      </c>
      <c r="D26" s="4">
        <v>0</v>
      </c>
      <c r="E26" s="4">
        <v>0</v>
      </c>
      <c r="F26" s="4">
        <v>0</v>
      </c>
      <c r="G26" s="4">
        <v>0</v>
      </c>
      <c r="H26" s="4">
        <v>0</v>
      </c>
      <c r="I26" s="4">
        <v>0</v>
      </c>
      <c r="J26" s="4">
        <v>0</v>
      </c>
      <c r="K26" s="4">
        <v>0</v>
      </c>
      <c r="M26" s="4">
        <v>8.204336870400003E-2</v>
      </c>
      <c r="N26" s="1" t="s">
        <v>13</v>
      </c>
      <c r="O26">
        <v>6.5739011957899988E-3</v>
      </c>
      <c r="P26">
        <v>3.4933288130767678E-3</v>
      </c>
      <c r="Q26">
        <v>1.173780129944677E-2</v>
      </c>
      <c r="R26">
        <v>6.237392114713673E-3</v>
      </c>
      <c r="S26">
        <v>1.2659279599382615E-2</v>
      </c>
      <c r="T26">
        <v>6.7270597564866265E-3</v>
      </c>
      <c r="U26">
        <v>2.2603337669092637E-2</v>
      </c>
      <c r="V26">
        <v>1.201126825601094E-2</v>
      </c>
      <c r="AC26" s="7"/>
    </row>
    <row r="27" spans="1:29">
      <c r="A27" s="7"/>
      <c r="B27" s="4">
        <v>0.28195834876884507</v>
      </c>
      <c r="C27" s="1" t="s">
        <v>14</v>
      </c>
      <c r="D27" s="4">
        <v>0</v>
      </c>
      <c r="E27" s="4">
        <v>0</v>
      </c>
      <c r="F27" s="4">
        <v>0</v>
      </c>
      <c r="G27" s="4">
        <v>0</v>
      </c>
      <c r="H27" s="4">
        <v>0</v>
      </c>
      <c r="I27" s="4">
        <v>0</v>
      </c>
      <c r="J27" s="4">
        <v>0</v>
      </c>
      <c r="K27" s="4">
        <v>0</v>
      </c>
      <c r="M27" s="4">
        <v>4.3635811296000013E-2</v>
      </c>
      <c r="N27" s="1" t="s">
        <v>14</v>
      </c>
      <c r="O27">
        <v>3.4964131359961513E-3</v>
      </c>
      <c r="P27">
        <v>1.8579714520530848E-3</v>
      </c>
      <c r="Q27">
        <v>6.2428992205390901E-3</v>
      </c>
      <c r="R27">
        <v>3.3174364923844778E-3</v>
      </c>
      <c r="S27">
        <v>6.7329991986912431E-3</v>
      </c>
      <c r="T27">
        <v>3.577872468523524E-3</v>
      </c>
      <c r="U27">
        <v>1.2021873221061524E-2</v>
      </c>
      <c r="V27">
        <v>6.3883461067509167E-3</v>
      </c>
      <c r="AC27" s="7"/>
    </row>
    <row r="28" spans="1:29">
      <c r="A28" s="7"/>
      <c r="B28" s="4">
        <v>8.0087677443570038E-2</v>
      </c>
      <c r="C28" s="1" t="s">
        <v>15</v>
      </c>
      <c r="D28" s="4">
        <v>0</v>
      </c>
      <c r="E28" s="4">
        <v>0</v>
      </c>
      <c r="F28" s="4">
        <v>0</v>
      </c>
      <c r="G28" s="4">
        <v>0</v>
      </c>
      <c r="H28" s="4">
        <v>0</v>
      </c>
      <c r="I28" s="4">
        <v>0</v>
      </c>
      <c r="J28" s="4">
        <v>0</v>
      </c>
      <c r="K28" s="4">
        <v>0</v>
      </c>
      <c r="M28" s="4">
        <v>0.14604495129600001</v>
      </c>
      <c r="N28" s="1" t="s">
        <v>15</v>
      </c>
      <c r="O28">
        <v>1.1702165514774354E-2</v>
      </c>
      <c r="P28">
        <v>6.21845548794288E-3</v>
      </c>
      <c r="Q28">
        <v>2.0894395807716886E-2</v>
      </c>
      <c r="R28">
        <v>1.1103147542538681E-2</v>
      </c>
      <c r="S28">
        <v>2.2534714282693036E-2</v>
      </c>
      <c r="T28">
        <v>1.1974802229853726E-2</v>
      </c>
      <c r="U28">
        <v>4.023607759110373E-2</v>
      </c>
      <c r="V28">
        <v>2.1381192839376711E-2</v>
      </c>
      <c r="AC28" s="7"/>
    </row>
    <row r="29" spans="1:29">
      <c r="A29" s="7"/>
      <c r="B29" s="4">
        <v>0.15118313406242895</v>
      </c>
      <c r="C29" s="1" t="s">
        <v>16</v>
      </c>
      <c r="D29" s="4">
        <v>0</v>
      </c>
      <c r="E29" s="4">
        <v>0</v>
      </c>
      <c r="F29" s="4">
        <v>0</v>
      </c>
      <c r="G29" s="4">
        <v>0</v>
      </c>
      <c r="H29" s="4">
        <v>0</v>
      </c>
      <c r="I29" s="4">
        <v>0</v>
      </c>
      <c r="J29" s="4">
        <v>0</v>
      </c>
      <c r="K29" s="4">
        <v>0</v>
      </c>
      <c r="M29" s="4">
        <v>7.7675868704000006E-2</v>
      </c>
      <c r="N29" s="1" t="s">
        <v>16</v>
      </c>
      <c r="O29">
        <v>6.2239458742794967E-3</v>
      </c>
      <c r="P29">
        <v>3.307364806087267E-3</v>
      </c>
      <c r="Q29">
        <v>1.1112950711457266E-2</v>
      </c>
      <c r="R29">
        <v>5.905350531203171E-3</v>
      </c>
      <c r="S29">
        <v>1.1985374998393111E-2</v>
      </c>
      <c r="T29">
        <v>6.3689511859761246E-3</v>
      </c>
      <c r="U29">
        <v>2.140007067958213E-2</v>
      </c>
      <c r="V29">
        <v>1.1371859917021438E-2</v>
      </c>
      <c r="AC29" s="7"/>
    </row>
    <row r="30" spans="1:29">
      <c r="A30" s="7"/>
      <c r="B30" s="4">
        <v>7.605947556360336E-2</v>
      </c>
      <c r="C30" s="1" t="s">
        <v>17</v>
      </c>
      <c r="D30" s="4">
        <v>0</v>
      </c>
      <c r="E30" s="4">
        <v>0</v>
      </c>
      <c r="F30" s="4">
        <v>0</v>
      </c>
      <c r="G30" s="4">
        <v>0</v>
      </c>
      <c r="H30" s="4">
        <v>0</v>
      </c>
      <c r="I30" s="4">
        <v>0</v>
      </c>
      <c r="J30" s="4">
        <v>0</v>
      </c>
      <c r="K30" s="4">
        <v>0</v>
      </c>
      <c r="M30" s="4">
        <v>0.15276879129600002</v>
      </c>
      <c r="N30" s="1" t="s">
        <v>17</v>
      </c>
      <c r="O30">
        <v>1.2240927641616979E-2</v>
      </c>
      <c r="P30">
        <v>6.5047502169082562E-3</v>
      </c>
      <c r="Q30">
        <v>2.1856363839210264E-2</v>
      </c>
      <c r="R30">
        <v>1.1614331167237306E-2</v>
      </c>
      <c r="S30">
        <v>2.3572201795530413E-2</v>
      </c>
      <c r="T30">
        <v>1.2526116421208352E-2</v>
      </c>
      <c r="U30">
        <v>4.2088527439930357E-2</v>
      </c>
      <c r="V30">
        <v>2.2365572774358088E-2</v>
      </c>
      <c r="AC30" s="7"/>
    </row>
    <row r="31" spans="1:29">
      <c r="A31" s="7"/>
      <c r="B31" s="4">
        <v>0.1435790156226274</v>
      </c>
      <c r="C31" s="1" t="s">
        <v>18</v>
      </c>
      <c r="D31" s="4">
        <v>0</v>
      </c>
      <c r="E31" s="4">
        <v>0</v>
      </c>
      <c r="F31" s="4">
        <v>0</v>
      </c>
      <c r="G31" s="4">
        <v>0</v>
      </c>
      <c r="H31" s="4">
        <v>0</v>
      </c>
      <c r="I31" s="4">
        <v>0</v>
      </c>
      <c r="J31" s="4">
        <v>0</v>
      </c>
      <c r="K31" s="4">
        <v>0</v>
      </c>
      <c r="M31" s="4">
        <v>8.1252028704000001E-2</v>
      </c>
      <c r="N31" s="1" t="s">
        <v>18</v>
      </c>
      <c r="O31">
        <v>6.510493378016873E-3</v>
      </c>
      <c r="P31">
        <v>3.4596343065418909E-3</v>
      </c>
      <c r="Q31">
        <v>1.162458566938389E-2</v>
      </c>
      <c r="R31">
        <v>6.1772300570845469E-3</v>
      </c>
      <c r="S31">
        <v>1.2537175954975735E-2</v>
      </c>
      <c r="T31">
        <v>6.6621746652014997E-3</v>
      </c>
      <c r="U31">
        <v>2.2385319741335504E-2</v>
      </c>
      <c r="V31">
        <v>1.189541493146006E-2</v>
      </c>
      <c r="AC31" s="7"/>
    </row>
    <row r="32" spans="1:29">
      <c r="A32" s="7"/>
      <c r="B32" s="4">
        <v>4.0782299729941032E-2</v>
      </c>
      <c r="C32" s="1" t="s">
        <v>19</v>
      </c>
      <c r="D32" s="4">
        <v>0</v>
      </c>
      <c r="E32" s="4">
        <v>0</v>
      </c>
      <c r="F32" s="4">
        <v>0</v>
      </c>
      <c r="G32" s="4">
        <v>0</v>
      </c>
      <c r="H32" s="4">
        <v>0</v>
      </c>
      <c r="I32" s="4">
        <v>0</v>
      </c>
      <c r="J32" s="4">
        <v>0</v>
      </c>
      <c r="K32" s="4">
        <v>0</v>
      </c>
      <c r="M32" s="4">
        <v>0.27194288870399996</v>
      </c>
      <c r="N32" s="1" t="s">
        <v>19</v>
      </c>
      <c r="O32">
        <v>2.1790008253898662E-2</v>
      </c>
      <c r="P32">
        <v>1.1579070235992091E-2</v>
      </c>
      <c r="Q32">
        <v>3.8906393567546091E-2</v>
      </c>
      <c r="R32">
        <v>2.0674607301590337E-2</v>
      </c>
      <c r="S32">
        <v>4.1960747316313933E-2</v>
      </c>
      <c r="T32">
        <v>2.229767123853129E-2</v>
      </c>
      <c r="U32">
        <v>7.4921557185953294E-2</v>
      </c>
      <c r="V32">
        <v>3.9812833604174258E-2</v>
      </c>
      <c r="AC32" s="7"/>
    </row>
    <row r="33" spans="1:29">
      <c r="A33" s="7"/>
      <c r="B33" s="4">
        <v>7.6985574863125836E-2</v>
      </c>
      <c r="C33" s="1" t="s">
        <v>20</v>
      </c>
      <c r="D33" s="4">
        <v>0</v>
      </c>
      <c r="E33" s="4">
        <v>0</v>
      </c>
      <c r="F33" s="4">
        <v>0</v>
      </c>
      <c r="G33" s="4">
        <v>0</v>
      </c>
      <c r="H33" s="4">
        <v>0</v>
      </c>
      <c r="I33" s="4">
        <v>0</v>
      </c>
      <c r="J33" s="4">
        <v>0</v>
      </c>
      <c r="K33" s="4">
        <v>0</v>
      </c>
      <c r="M33" s="4">
        <v>0.14463629129599997</v>
      </c>
      <c r="N33" s="1" t="s">
        <v>20</v>
      </c>
      <c r="O33">
        <v>1.1589293605627476E-2</v>
      </c>
      <c r="P33">
        <v>6.1584760813977544E-3</v>
      </c>
      <c r="Q33">
        <v>2.0692861284699757E-2</v>
      </c>
      <c r="R33">
        <v>1.0996053393247803E-2</v>
      </c>
      <c r="S33">
        <v>2.2317358254019908E-2</v>
      </c>
      <c r="T33">
        <v>1.1859300634218847E-2</v>
      </c>
      <c r="U33">
        <v>3.9847985071940845E-2</v>
      </c>
      <c r="V33">
        <v>2.1174962970847581E-2</v>
      </c>
      <c r="AC33" s="7"/>
    </row>
    <row r="34" spans="1:29">
      <c r="A34" s="7"/>
      <c r="X34" t="s">
        <v>86</v>
      </c>
      <c r="AC34" s="7"/>
    </row>
    <row r="35" spans="1:29">
      <c r="A35" s="7"/>
      <c r="C35" s="1" t="s">
        <v>27</v>
      </c>
      <c r="D35" s="4">
        <v>7.7323478165077723E-4</v>
      </c>
      <c r="E35" s="4">
        <v>4.0961300455264436E-4</v>
      </c>
      <c r="F35" s="4">
        <v>1.4420920931223931E-3</v>
      </c>
      <c r="G35" s="4">
        <v>7.6393314051961272E-4</v>
      </c>
      <c r="H35" s="4">
        <v>3.9374712357112161E-4</v>
      </c>
      <c r="I35" s="4">
        <v>2.0858340331717065E-4</v>
      </c>
      <c r="J35" s="4">
        <v>7.3434308319571902E-4</v>
      </c>
      <c r="K35" s="4">
        <v>3.8901053576260655E-4</v>
      </c>
      <c r="P35" t="s">
        <v>63</v>
      </c>
      <c r="AA35" t="s">
        <v>44</v>
      </c>
      <c r="AC35" s="7"/>
    </row>
    <row r="36" spans="1:29">
      <c r="A36" s="7"/>
      <c r="C36" s="1"/>
      <c r="D36" s="1" t="s">
        <v>13</v>
      </c>
      <c r="E36" s="1" t="s">
        <v>14</v>
      </c>
      <c r="F36" s="1" t="s">
        <v>15</v>
      </c>
      <c r="G36" s="1" t="s">
        <v>16</v>
      </c>
      <c r="H36" s="1" t="s">
        <v>17</v>
      </c>
      <c r="I36" s="1" t="s">
        <v>18</v>
      </c>
      <c r="J36" s="1" t="s">
        <v>19</v>
      </c>
      <c r="K36" s="1" t="s">
        <v>20</v>
      </c>
      <c r="L36" s="1"/>
      <c r="O36" s="1" t="s">
        <v>13</v>
      </c>
      <c r="P36" s="1" t="s">
        <v>14</v>
      </c>
      <c r="Q36" s="1" t="s">
        <v>15</v>
      </c>
      <c r="R36" s="1" t="s">
        <v>16</v>
      </c>
      <c r="S36" s="1" t="s">
        <v>17</v>
      </c>
      <c r="T36" s="1" t="s">
        <v>18</v>
      </c>
      <c r="U36" s="1" t="s">
        <v>19</v>
      </c>
      <c r="V36" s="1" t="s">
        <v>20</v>
      </c>
      <c r="X36" s="1" t="s">
        <v>47</v>
      </c>
      <c r="Y36" s="1" t="s">
        <v>48</v>
      </c>
      <c r="Z36" s="1" t="s">
        <v>66</v>
      </c>
      <c r="AC36" s="7"/>
    </row>
    <row r="37" spans="1:29">
      <c r="A37" s="7"/>
      <c r="B37" s="4">
        <v>0.15118313406242895</v>
      </c>
      <c r="C37" s="1" t="s">
        <v>13</v>
      </c>
      <c r="D37" s="4">
        <v>1.1690005765604242E-4</v>
      </c>
      <c r="E37" s="4">
        <v>6.1926577780996756E-5</v>
      </c>
      <c r="F37" s="4">
        <v>2.1802000224489153E-4</v>
      </c>
      <c r="G37" s="4">
        <v>1.1549380639790898E-4</v>
      </c>
      <c r="H37" s="4">
        <v>5.9527924169548656E-5</v>
      </c>
      <c r="I37" s="4">
        <v>3.1534292626897499E-5</v>
      </c>
      <c r="J37" s="4">
        <v>1.110202887945958E-4</v>
      </c>
      <c r="K37" s="4">
        <v>5.8811831979895455E-5</v>
      </c>
      <c r="N37" s="1" t="s">
        <v>13</v>
      </c>
      <c r="O37" s="5">
        <v>65.73901195789999</v>
      </c>
      <c r="P37" s="5">
        <v>34.933288130767679</v>
      </c>
      <c r="Q37" s="5">
        <v>117.37801299446771</v>
      </c>
      <c r="R37" s="5">
        <v>62.373921147136727</v>
      </c>
      <c r="S37" s="5">
        <v>126.59279599382616</v>
      </c>
      <c r="T37" s="5">
        <v>67.270597564866264</v>
      </c>
      <c r="U37" s="5">
        <v>226.03337669092636</v>
      </c>
      <c r="V37" s="5">
        <v>120.11268256010941</v>
      </c>
      <c r="X37">
        <v>820.43368704000034</v>
      </c>
      <c r="Y37">
        <v>65.73901195789999</v>
      </c>
      <c r="Z37">
        <v>754.69467508210039</v>
      </c>
      <c r="AA37">
        <v>3.5427632555577482</v>
      </c>
      <c r="AB37">
        <v>1.688245420677061</v>
      </c>
      <c r="AC37" s="7"/>
    </row>
    <row r="38" spans="1:29">
      <c r="A38" s="7"/>
      <c r="B38" s="4">
        <v>8.0087677443570038E-2</v>
      </c>
      <c r="C38" s="1" t="s">
        <v>14</v>
      </c>
      <c r="D38" s="4">
        <v>6.1926577780996756E-5</v>
      </c>
      <c r="E38" s="4">
        <v>3.2804954185303767E-5</v>
      </c>
      <c r="F38" s="4">
        <v>1.1549380639790898E-4</v>
      </c>
      <c r="G38" s="4">
        <v>6.1181630946388204E-5</v>
      </c>
      <c r="H38" s="4">
        <v>3.1534292626897499E-5</v>
      </c>
      <c r="I38" s="4">
        <v>1.670496032494764E-5</v>
      </c>
      <c r="J38" s="4">
        <v>5.8811831979895462E-5</v>
      </c>
      <c r="K38" s="4">
        <v>3.1154950310305999E-5</v>
      </c>
      <c r="N38" s="1" t="s">
        <v>14</v>
      </c>
      <c r="O38" s="5">
        <v>34.964131359961513</v>
      </c>
      <c r="P38" s="5">
        <v>18.579714520530846</v>
      </c>
      <c r="Q38" s="5">
        <v>62.428992205390898</v>
      </c>
      <c r="R38" s="5">
        <v>33.174364923844777</v>
      </c>
      <c r="S38" s="5">
        <v>67.329991986912432</v>
      </c>
      <c r="T38" s="5">
        <v>35.77872468523524</v>
      </c>
      <c r="U38" s="5">
        <v>120.21873221061524</v>
      </c>
      <c r="V38" s="5">
        <v>63.883461067509167</v>
      </c>
      <c r="X38">
        <v>436.35811296000014</v>
      </c>
      <c r="Y38">
        <v>18.579714520530846</v>
      </c>
      <c r="Z38">
        <v>417.7783984394693</v>
      </c>
      <c r="AA38">
        <v>0.62963038254116854</v>
      </c>
      <c r="AB38">
        <v>2.3332666496057892</v>
      </c>
      <c r="AC38" s="7"/>
    </row>
    <row r="39" spans="1:29">
      <c r="A39" s="7"/>
      <c r="B39" s="4">
        <v>0.28195834876884507</v>
      </c>
      <c r="C39" s="1" t="s">
        <v>15</v>
      </c>
      <c r="D39" s="4">
        <v>2.1802000224489161E-4</v>
      </c>
      <c r="E39" s="4">
        <v>1.1549380639790902E-4</v>
      </c>
      <c r="F39" s="4">
        <v>4.066099053493975E-4</v>
      </c>
      <c r="G39" s="4">
        <v>2.1539732687070808E-4</v>
      </c>
      <c r="H39" s="4">
        <v>1.1102028879459584E-4</v>
      </c>
      <c r="I39" s="4">
        <v>5.8811831979895476E-5</v>
      </c>
      <c r="J39" s="4">
        <v>2.0705416316768756E-4</v>
      </c>
      <c r="K39" s="4">
        <v>1.096847683173083E-4</v>
      </c>
      <c r="N39" s="1" t="s">
        <v>15</v>
      </c>
      <c r="O39" s="5">
        <v>117.02165514774354</v>
      </c>
      <c r="P39" s="5">
        <v>62.184554879428802</v>
      </c>
      <c r="Q39" s="5">
        <v>208.94395807716887</v>
      </c>
      <c r="R39" s="5">
        <v>111.03147542538682</v>
      </c>
      <c r="S39" s="5">
        <v>225.34714282693037</v>
      </c>
      <c r="T39" s="5">
        <v>119.74802229853726</v>
      </c>
      <c r="U39" s="5">
        <v>402.36077591103731</v>
      </c>
      <c r="V39" s="5">
        <v>213.81192839376712</v>
      </c>
      <c r="X39">
        <v>1460.4495129600002</v>
      </c>
      <c r="Y39">
        <v>208.94395807716887</v>
      </c>
      <c r="Z39">
        <v>1251.5055548828313</v>
      </c>
      <c r="AA39">
        <v>0.48397656522036997</v>
      </c>
      <c r="AB39">
        <v>1.8111749455475056E-3</v>
      </c>
      <c r="AC39" s="7"/>
    </row>
    <row r="40" spans="1:29">
      <c r="A40" s="7"/>
      <c r="B40" s="4">
        <v>0.14936447394585839</v>
      </c>
      <c r="C40" s="1" t="s">
        <v>16</v>
      </c>
      <c r="D40" s="4">
        <v>1.1549380639790902E-4</v>
      </c>
      <c r="E40" s="4">
        <v>6.1181630946388217E-5</v>
      </c>
      <c r="F40" s="4">
        <v>2.1539732687070808E-4</v>
      </c>
      <c r="G40" s="4">
        <v>1.1410447166351947E-4</v>
      </c>
      <c r="H40" s="4">
        <v>5.8811831979895476E-5</v>
      </c>
      <c r="I40" s="4">
        <v>3.1154950310306006E-5</v>
      </c>
      <c r="J40" s="4">
        <v>1.096847683173083E-4</v>
      </c>
      <c r="K40" s="4">
        <v>5.8104354033578263E-5</v>
      </c>
      <c r="N40" s="1" t="s">
        <v>16</v>
      </c>
      <c r="O40" s="5">
        <v>62.239458742794966</v>
      </c>
      <c r="P40" s="5">
        <v>33.073648060872671</v>
      </c>
      <c r="Q40" s="5">
        <v>111.12950711457266</v>
      </c>
      <c r="R40" s="5">
        <v>59.05350531203171</v>
      </c>
      <c r="S40" s="5">
        <v>119.85374998393111</v>
      </c>
      <c r="T40" s="5">
        <v>63.689511859761247</v>
      </c>
      <c r="U40" s="5">
        <v>214.00070679582132</v>
      </c>
      <c r="V40" s="5">
        <v>113.71859917021438</v>
      </c>
      <c r="X40">
        <v>776.75868703999993</v>
      </c>
      <c r="Y40">
        <v>59.05350531203171</v>
      </c>
      <c r="Z40">
        <v>717.70518172796824</v>
      </c>
      <c r="AA40">
        <v>0.43245385356539628</v>
      </c>
      <c r="AB40">
        <v>0.43677190579236502</v>
      </c>
      <c r="AC40" s="7"/>
    </row>
    <row r="41" spans="1:29">
      <c r="A41" s="7"/>
      <c r="B41" s="4">
        <v>7.6985574863125836E-2</v>
      </c>
      <c r="C41" s="1" t="s">
        <v>17</v>
      </c>
      <c r="D41" s="4">
        <v>5.9527924169548669E-5</v>
      </c>
      <c r="E41" s="4">
        <v>3.1534292626897506E-5</v>
      </c>
      <c r="F41" s="4">
        <v>1.1102028879459583E-4</v>
      </c>
      <c r="G41" s="4">
        <v>5.8811831979895476E-5</v>
      </c>
      <c r="H41" s="4">
        <v>3.0312848658825042E-5</v>
      </c>
      <c r="I41" s="4">
        <v>1.6057913211279612E-5</v>
      </c>
      <c r="J41" s="4">
        <v>5.6533824406582669E-5</v>
      </c>
      <c r="K41" s="4">
        <v>2.9948199723496837E-5</v>
      </c>
      <c r="N41" s="1" t="s">
        <v>17</v>
      </c>
      <c r="O41" s="5">
        <v>122.40927641616979</v>
      </c>
      <c r="P41" s="5">
        <v>65.047502169082563</v>
      </c>
      <c r="Q41" s="5">
        <v>218.56363839210263</v>
      </c>
      <c r="R41" s="5">
        <v>116.14331167237306</v>
      </c>
      <c r="S41" s="5">
        <v>235.72201795530412</v>
      </c>
      <c r="T41" s="5">
        <v>125.26116421208351</v>
      </c>
      <c r="U41" s="5">
        <v>420.88527439930357</v>
      </c>
      <c r="V41" s="5">
        <v>223.65572774358088</v>
      </c>
      <c r="X41">
        <v>1527.6879129600002</v>
      </c>
      <c r="Y41">
        <v>235.72201795530412</v>
      </c>
      <c r="Z41">
        <v>1291.965895004696</v>
      </c>
      <c r="AA41">
        <v>0.11817773624105878</v>
      </c>
      <c r="AB41">
        <v>1.236311863728089</v>
      </c>
      <c r="AC41" s="7"/>
    </row>
    <row r="42" spans="1:29">
      <c r="A42" s="7"/>
      <c r="B42" s="4">
        <v>4.0782299729941032E-2</v>
      </c>
      <c r="C42" s="1" t="s">
        <v>18</v>
      </c>
      <c r="D42" s="4">
        <v>3.1534292626897506E-5</v>
      </c>
      <c r="E42" s="4">
        <v>1.6704960324947643E-5</v>
      </c>
      <c r="F42" s="4">
        <v>5.8811831979895469E-5</v>
      </c>
      <c r="G42" s="4">
        <v>3.1154950310306006E-5</v>
      </c>
      <c r="H42" s="4">
        <v>1.6057913211279612E-5</v>
      </c>
      <c r="I42" s="4">
        <v>8.5065108727720301E-6</v>
      </c>
      <c r="J42" s="4">
        <v>2.9948199723496837E-5</v>
      </c>
      <c r="K42" s="4">
        <v>1.5864744267575564E-5</v>
      </c>
      <c r="N42" s="1" t="s">
        <v>18</v>
      </c>
      <c r="O42" s="5">
        <v>65.104933780168736</v>
      </c>
      <c r="P42" s="5">
        <v>34.596343065418907</v>
      </c>
      <c r="Q42" s="5">
        <v>116.2458566938389</v>
      </c>
      <c r="R42" s="5">
        <v>61.772300570845466</v>
      </c>
      <c r="S42" s="5">
        <v>125.37175954975736</v>
      </c>
      <c r="T42" s="5">
        <v>66.621746652014991</v>
      </c>
      <c r="U42" s="5">
        <v>223.85319741335505</v>
      </c>
      <c r="V42" s="5">
        <v>118.9541493146006</v>
      </c>
      <c r="X42">
        <v>812.52028703999997</v>
      </c>
      <c r="Y42">
        <v>66.621746652014991</v>
      </c>
      <c r="Z42">
        <v>745.89854038798501</v>
      </c>
      <c r="AA42">
        <v>8.4898539462577013E-2</v>
      </c>
      <c r="AB42">
        <v>0.43928607222501537</v>
      </c>
      <c r="AC42" s="7"/>
    </row>
    <row r="43" spans="1:29">
      <c r="A43" s="7"/>
      <c r="B43" s="4">
        <v>0.1435790156226274</v>
      </c>
      <c r="C43" s="1" t="s">
        <v>19</v>
      </c>
      <c r="D43" s="4">
        <v>1.1102028879459583E-4</v>
      </c>
      <c r="E43" s="4">
        <v>5.8811831979895476E-5</v>
      </c>
      <c r="F43" s="4">
        <v>2.0705416316768753E-4</v>
      </c>
      <c r="G43" s="4">
        <v>1.0968476831730828E-4</v>
      </c>
      <c r="H43" s="4">
        <v>5.6533824406582669E-5</v>
      </c>
      <c r="I43" s="4">
        <v>2.9948199723496837E-5</v>
      </c>
      <c r="J43" s="4">
        <v>1.0543625701452651E-4</v>
      </c>
      <c r="K43" s="4">
        <v>5.5853749791625938E-5</v>
      </c>
      <c r="N43" s="1" t="s">
        <v>19</v>
      </c>
      <c r="O43" s="5">
        <v>217.90008253898662</v>
      </c>
      <c r="P43" s="5">
        <v>115.79070235992091</v>
      </c>
      <c r="Q43" s="5">
        <v>389.06393567546093</v>
      </c>
      <c r="R43" s="5">
        <v>206.74607301590336</v>
      </c>
      <c r="S43" s="5">
        <v>419.60747316313933</v>
      </c>
      <c r="T43" s="5">
        <v>222.97671238531291</v>
      </c>
      <c r="U43" s="5">
        <v>749.21557185953293</v>
      </c>
      <c r="V43" s="5">
        <v>398.12833604174256</v>
      </c>
      <c r="X43">
        <v>2719.4288870399992</v>
      </c>
      <c r="Y43">
        <v>749.21557185953293</v>
      </c>
      <c r="Z43">
        <v>1970.2133151804662</v>
      </c>
      <c r="AA43">
        <v>2.2201481672577676</v>
      </c>
      <c r="AB43">
        <v>1.6995987664186221E-2</v>
      </c>
      <c r="AC43" s="7"/>
    </row>
    <row r="44" spans="1:29">
      <c r="A44" s="7"/>
      <c r="B44" s="4">
        <v>7.605947556360336E-2</v>
      </c>
      <c r="C44" s="1" t="s">
        <v>20</v>
      </c>
      <c r="D44" s="4">
        <v>5.8811831979895469E-5</v>
      </c>
      <c r="E44" s="4">
        <v>3.1154950310306006E-5</v>
      </c>
      <c r="F44" s="4">
        <v>1.0968476831730828E-4</v>
      </c>
      <c r="G44" s="4">
        <v>5.8104354033578256E-5</v>
      </c>
      <c r="H44" s="4">
        <v>2.9948199723496837E-5</v>
      </c>
      <c r="I44" s="4">
        <v>1.5864744267575564E-5</v>
      </c>
      <c r="J44" s="4">
        <v>5.5853749791625938E-5</v>
      </c>
      <c r="K44" s="4">
        <v>2.9587937338820222E-5</v>
      </c>
      <c r="N44" s="1" t="s">
        <v>20</v>
      </c>
      <c r="O44" s="5">
        <v>115.89293605627476</v>
      </c>
      <c r="P44" s="5">
        <v>61.584760813977546</v>
      </c>
      <c r="Q44" s="5">
        <v>206.92861284699757</v>
      </c>
      <c r="R44" s="5">
        <v>109.96053393247803</v>
      </c>
      <c r="S44" s="5">
        <v>223.17358254019908</v>
      </c>
      <c r="T44" s="5">
        <v>118.59300634218847</v>
      </c>
      <c r="U44" s="5">
        <v>398.47985071940843</v>
      </c>
      <c r="V44" s="5">
        <v>211.74962970847582</v>
      </c>
      <c r="X44">
        <v>1446.3629129599997</v>
      </c>
      <c r="Y44">
        <v>211.74962970847582</v>
      </c>
      <c r="Z44">
        <v>1234.6132832515239</v>
      </c>
      <c r="AA44">
        <v>6.6397863221962006E-2</v>
      </c>
      <c r="AB44">
        <v>0.66313880592287477</v>
      </c>
      <c r="AC44" s="7"/>
    </row>
    <row r="45" spans="1:29">
      <c r="A45" s="7"/>
      <c r="X45" s="9">
        <v>10000</v>
      </c>
      <c r="Y45" s="9">
        <v>1615.6251560429591</v>
      </c>
      <c r="Z45" s="9">
        <v>8384.3748439570409</v>
      </c>
      <c r="AA45" s="9">
        <v>7.5784463630680472</v>
      </c>
      <c r="AB45" s="9">
        <v>6.8158278805609287</v>
      </c>
      <c r="AC45" s="7"/>
    </row>
    <row r="46" spans="1:29">
      <c r="A46" s="7"/>
      <c r="C46" s="1" t="s">
        <v>28</v>
      </c>
      <c r="D46" s="4">
        <v>0</v>
      </c>
      <c r="E46" s="4">
        <v>0</v>
      </c>
      <c r="F46" s="4">
        <v>0</v>
      </c>
      <c r="G46" s="4">
        <v>0</v>
      </c>
      <c r="H46" s="4">
        <v>0</v>
      </c>
      <c r="I46" s="4">
        <v>0</v>
      </c>
      <c r="J46" s="4">
        <v>0</v>
      </c>
      <c r="K46" s="4">
        <v>0</v>
      </c>
      <c r="P46" t="s">
        <v>70</v>
      </c>
      <c r="AB46" s="21">
        <v>14.394274243628976</v>
      </c>
      <c r="AC46" s="7"/>
    </row>
    <row r="47" spans="1:29">
      <c r="A47" s="7"/>
      <c r="C47" s="1"/>
      <c r="D47" s="1" t="s">
        <v>13</v>
      </c>
      <c r="E47" s="1" t="s">
        <v>14</v>
      </c>
      <c r="F47" s="1" t="s">
        <v>15</v>
      </c>
      <c r="G47" s="1" t="s">
        <v>16</v>
      </c>
      <c r="H47" s="1" t="s">
        <v>17</v>
      </c>
      <c r="I47" s="1" t="s">
        <v>18</v>
      </c>
      <c r="J47" s="1" t="s">
        <v>19</v>
      </c>
      <c r="K47" s="1" t="s">
        <v>20</v>
      </c>
      <c r="L47" s="1"/>
      <c r="O47" s="1" t="s">
        <v>13</v>
      </c>
      <c r="P47" s="1" t="s">
        <v>14</v>
      </c>
      <c r="Q47" s="1" t="s">
        <v>15</v>
      </c>
      <c r="R47" s="1" t="s">
        <v>16</v>
      </c>
      <c r="S47" s="1" t="s">
        <v>17</v>
      </c>
      <c r="T47" s="1" t="s">
        <v>18</v>
      </c>
      <c r="U47" s="1" t="s">
        <v>19</v>
      </c>
      <c r="V47" s="1" t="s">
        <v>20</v>
      </c>
      <c r="Z47" t="s">
        <v>68</v>
      </c>
      <c r="AC47" s="7"/>
    </row>
    <row r="48" spans="1:29">
      <c r="A48" s="7"/>
      <c r="B48" s="4">
        <v>8.0087677443570038E-2</v>
      </c>
      <c r="C48" s="1" t="s">
        <v>13</v>
      </c>
      <c r="D48" s="4">
        <v>0</v>
      </c>
      <c r="E48" s="4">
        <v>0</v>
      </c>
      <c r="F48" s="4">
        <v>0</v>
      </c>
      <c r="G48" s="4">
        <v>0</v>
      </c>
      <c r="H48" s="4">
        <v>0</v>
      </c>
      <c r="I48" s="4">
        <v>0</v>
      </c>
      <c r="J48" s="4">
        <v>0</v>
      </c>
      <c r="K48" s="4">
        <v>0</v>
      </c>
      <c r="N48" s="1" t="s">
        <v>13</v>
      </c>
      <c r="O48">
        <v>3.5427632555577482</v>
      </c>
      <c r="P48">
        <v>0.24630316006595343</v>
      </c>
      <c r="Q48">
        <v>3.2959139891834679E-3</v>
      </c>
      <c r="R48">
        <v>0.50746790768481842</v>
      </c>
      <c r="S48">
        <v>1.2526661544773676</v>
      </c>
      <c r="T48">
        <v>4.4459732645641473E-2</v>
      </c>
      <c r="U48">
        <v>0.28551155587328614</v>
      </c>
      <c r="V48">
        <v>3.3678375267431919</v>
      </c>
      <c r="W48" s="7">
        <v>9.2503052070371901</v>
      </c>
      <c r="Z48" t="s">
        <v>67</v>
      </c>
      <c r="AC48" s="7"/>
    </row>
    <row r="49" spans="1:29">
      <c r="A49" s="7"/>
      <c r="B49" s="4">
        <v>0.15118313406242895</v>
      </c>
      <c r="C49" s="1" t="s">
        <v>14</v>
      </c>
      <c r="D49" s="4">
        <v>0</v>
      </c>
      <c r="E49" s="4">
        <v>0</v>
      </c>
      <c r="F49" s="4">
        <v>0</v>
      </c>
      <c r="G49" s="4">
        <v>0</v>
      </c>
      <c r="H49" s="4">
        <v>0</v>
      </c>
      <c r="I49" s="4">
        <v>0</v>
      </c>
      <c r="J49" s="4">
        <v>0</v>
      </c>
      <c r="K49" s="4">
        <v>0</v>
      </c>
      <c r="N49" s="1" t="s">
        <v>14</v>
      </c>
      <c r="O49">
        <v>1.4158351886460685</v>
      </c>
      <c r="P49">
        <v>0.62963038254116854</v>
      </c>
      <c r="Q49">
        <v>1.7899729251762104</v>
      </c>
      <c r="R49">
        <v>0.10046743740051711</v>
      </c>
      <c r="S49">
        <v>1.6909116968480082</v>
      </c>
      <c r="T49">
        <v>0.63826225831633487</v>
      </c>
      <c r="U49">
        <v>1.5798148790156987</v>
      </c>
      <c r="V49">
        <v>0.9728489559646204</v>
      </c>
      <c r="W49" s="7">
        <v>8.8177437239086274</v>
      </c>
      <c r="Z49" t="s">
        <v>69</v>
      </c>
      <c r="AB49">
        <v>12</v>
      </c>
      <c r="AC49" s="7"/>
    </row>
    <row r="50" spans="1:29">
      <c r="A50" s="7"/>
      <c r="B50" s="4">
        <v>0.14936447394585839</v>
      </c>
      <c r="C50" s="1" t="s">
        <v>15</v>
      </c>
      <c r="D50" s="4">
        <v>0</v>
      </c>
      <c r="E50" s="4">
        <v>0</v>
      </c>
      <c r="F50" s="4">
        <v>0</v>
      </c>
      <c r="G50" s="4">
        <v>0</v>
      </c>
      <c r="H50" s="4">
        <v>0</v>
      </c>
      <c r="I50" s="4">
        <v>0</v>
      </c>
      <c r="J50" s="4">
        <v>0</v>
      </c>
      <c r="K50" s="4">
        <v>0</v>
      </c>
      <c r="N50" s="1" t="s">
        <v>15</v>
      </c>
      <c r="O50">
        <v>0.21549020470631655</v>
      </c>
      <c r="P50">
        <v>0.98225648717904279</v>
      </c>
      <c r="Q50">
        <v>0.48397656522036997</v>
      </c>
      <c r="R50">
        <v>0.73463446330747351</v>
      </c>
      <c r="S50">
        <v>2.4447079208107451E-2</v>
      </c>
      <c r="T50">
        <v>0.27591069739850899</v>
      </c>
      <c r="U50">
        <v>0.53262369186366509</v>
      </c>
      <c r="V50">
        <v>1.5355010961283654E-2</v>
      </c>
      <c r="W50" s="7">
        <v>3.2646941998447678</v>
      </c>
      <c r="AC50" s="7"/>
    </row>
    <row r="51" spans="1:29">
      <c r="A51" s="7"/>
      <c r="B51" s="4">
        <v>0.28195834876884507</v>
      </c>
      <c r="C51" s="1" t="s">
        <v>16</v>
      </c>
      <c r="D51" s="4">
        <v>0</v>
      </c>
      <c r="E51" s="4">
        <v>0</v>
      </c>
      <c r="F51" s="4">
        <v>0</v>
      </c>
      <c r="G51" s="4">
        <v>0</v>
      </c>
      <c r="H51" s="4">
        <v>0</v>
      </c>
      <c r="I51" s="4">
        <v>0</v>
      </c>
      <c r="J51" s="4">
        <v>0</v>
      </c>
      <c r="K51" s="4">
        <v>0</v>
      </c>
      <c r="N51" s="1" t="s">
        <v>16</v>
      </c>
      <c r="O51">
        <v>0.1224398185116501</v>
      </c>
      <c r="P51">
        <v>0.11219904700412139</v>
      </c>
      <c r="Q51">
        <v>2.6403429800663498</v>
      </c>
      <c r="R51">
        <v>0.43245385356539628</v>
      </c>
      <c r="S51">
        <v>0.28590168333462734</v>
      </c>
      <c r="T51">
        <v>0.34529266814392923</v>
      </c>
      <c r="U51">
        <v>1.0514974821503424</v>
      </c>
      <c r="V51">
        <v>3.6171323127428008</v>
      </c>
      <c r="W51" s="7">
        <v>8.6072598455192182</v>
      </c>
      <c r="AC51" s="7"/>
    </row>
    <row r="52" spans="1:29">
      <c r="A52" s="7"/>
      <c r="B52" s="4">
        <v>4.0782299729941032E-2</v>
      </c>
      <c r="C52" s="1" t="s">
        <v>17</v>
      </c>
      <c r="D52" s="4">
        <v>0</v>
      </c>
      <c r="E52" s="4">
        <v>0</v>
      </c>
      <c r="F52" s="4">
        <v>0</v>
      </c>
      <c r="G52" s="4">
        <v>0</v>
      </c>
      <c r="H52" s="4">
        <v>0</v>
      </c>
      <c r="I52" s="4">
        <v>0</v>
      </c>
      <c r="J52" s="4">
        <v>0</v>
      </c>
      <c r="K52" s="4">
        <v>0</v>
      </c>
      <c r="N52" s="1" t="s">
        <v>17</v>
      </c>
      <c r="O52">
        <v>0.10532940176559465</v>
      </c>
      <c r="P52">
        <v>0.14277672717427137</v>
      </c>
      <c r="Q52">
        <v>0.18954090923987868</v>
      </c>
      <c r="R52">
        <v>0.83650365560470941</v>
      </c>
      <c r="S52">
        <v>0.11817773624105878</v>
      </c>
      <c r="T52">
        <v>5.4451630002192765E-4</v>
      </c>
      <c r="U52">
        <v>3.2325280789490374</v>
      </c>
      <c r="V52">
        <v>1.7274211442182201</v>
      </c>
      <c r="W52" s="7">
        <v>6.352822169492792</v>
      </c>
      <c r="AC52" s="7"/>
    </row>
    <row r="53" spans="1:29">
      <c r="A53" s="7"/>
      <c r="B53" s="4">
        <v>7.6985574863125836E-2</v>
      </c>
      <c r="C53" s="1" t="s">
        <v>18</v>
      </c>
      <c r="D53" s="4">
        <v>0</v>
      </c>
      <c r="E53" s="4">
        <v>0</v>
      </c>
      <c r="F53" s="4">
        <v>0</v>
      </c>
      <c r="G53" s="4">
        <v>0</v>
      </c>
      <c r="H53" s="4">
        <v>0</v>
      </c>
      <c r="I53" s="4">
        <v>0</v>
      </c>
      <c r="J53" s="4">
        <v>0</v>
      </c>
      <c r="K53" s="4">
        <v>0</v>
      </c>
      <c r="N53" s="1" t="s">
        <v>18</v>
      </c>
      <c r="O53">
        <v>0.23303212177587584</v>
      </c>
      <c r="P53">
        <v>1.0279267117936718E-2</v>
      </c>
      <c r="Q53">
        <v>1.7458207863347515</v>
      </c>
      <c r="R53">
        <v>8.0337703158131088E-2</v>
      </c>
      <c r="S53">
        <v>2.1146444568756122E-2</v>
      </c>
      <c r="T53">
        <v>8.4898539462577013E-2</v>
      </c>
      <c r="U53">
        <v>1.1646884511131386</v>
      </c>
      <c r="V53">
        <v>0.68789037704040146</v>
      </c>
      <c r="W53" s="7">
        <v>4.0280936905715681</v>
      </c>
      <c r="AC53" s="7"/>
    </row>
    <row r="54" spans="1:29">
      <c r="A54" s="7"/>
      <c r="B54" s="4">
        <v>7.605947556360336E-2</v>
      </c>
      <c r="C54" s="1" t="s">
        <v>19</v>
      </c>
      <c r="D54" s="4">
        <v>0</v>
      </c>
      <c r="E54" s="4">
        <v>0</v>
      </c>
      <c r="F54" s="4">
        <v>0</v>
      </c>
      <c r="G54" s="4">
        <v>0</v>
      </c>
      <c r="H54" s="4">
        <v>0</v>
      </c>
      <c r="I54" s="4">
        <v>0</v>
      </c>
      <c r="J54" s="4">
        <v>0</v>
      </c>
      <c r="K54" s="4">
        <v>0</v>
      </c>
      <c r="N54" s="1" t="s">
        <v>19</v>
      </c>
      <c r="O54">
        <v>2.6214489628207085</v>
      </c>
      <c r="P54">
        <v>0.73245227203080032</v>
      </c>
      <c r="Q54">
        <v>1.0506680835240894E-5</v>
      </c>
      <c r="R54">
        <v>7.6051402501112579E-3</v>
      </c>
      <c r="S54">
        <v>5.0592065934906748E-2</v>
      </c>
      <c r="T54">
        <v>0.16270754600843521</v>
      </c>
      <c r="U54">
        <v>2.2201481672577676</v>
      </c>
      <c r="V54">
        <v>0.80224476311424953</v>
      </c>
      <c r="W54" s="7">
        <v>6.5972094240978141</v>
      </c>
      <c r="AC54" s="7"/>
    </row>
    <row r="55" spans="1:29">
      <c r="A55" s="7"/>
      <c r="B55" s="4">
        <v>0.1435790156226274</v>
      </c>
      <c r="C55" s="1" t="s">
        <v>20</v>
      </c>
      <c r="D55" s="4">
        <v>0</v>
      </c>
      <c r="E55" s="4">
        <v>0</v>
      </c>
      <c r="F55" s="4">
        <v>0</v>
      </c>
      <c r="G55" s="4">
        <v>0</v>
      </c>
      <c r="H55" s="4">
        <v>0</v>
      </c>
      <c r="I55" s="4">
        <v>0</v>
      </c>
      <c r="J55" s="4">
        <v>0</v>
      </c>
      <c r="K55" s="4">
        <v>0</v>
      </c>
      <c r="N55" s="1" t="s">
        <v>20</v>
      </c>
      <c r="O55">
        <v>0.22505342441780526</v>
      </c>
      <c r="P55">
        <v>9.4721165570792257E-2</v>
      </c>
      <c r="Q55">
        <v>1.5533625543374925</v>
      </c>
      <c r="R55">
        <v>1.3009610524245163</v>
      </c>
      <c r="S55">
        <v>0.66403966892607491</v>
      </c>
      <c r="T55">
        <v>2.1398135391985141E-2</v>
      </c>
      <c r="U55">
        <v>0.14192096564050286</v>
      </c>
      <c r="V55">
        <v>6.6397863221962006E-2</v>
      </c>
      <c r="W55" s="7">
        <v>4.0678548299311306</v>
      </c>
      <c r="AC55" s="7"/>
    </row>
    <row r="56" spans="1:29">
      <c r="A56" s="7"/>
      <c r="O56" s="7">
        <v>8.4813923782017682</v>
      </c>
      <c r="P56" s="7">
        <v>2.9506185086840873</v>
      </c>
      <c r="Q56" s="7">
        <v>8.4063231410450712</v>
      </c>
      <c r="R56" s="7">
        <v>4.0004312133956734</v>
      </c>
      <c r="S56" s="7">
        <v>4.1078825295389079</v>
      </c>
      <c r="T56" s="7">
        <v>1.5734740936674341</v>
      </c>
      <c r="U56" s="7">
        <v>10.208733271863439</v>
      </c>
      <c r="V56" s="7">
        <v>11.257127954006728</v>
      </c>
      <c r="W56" s="21">
        <v>50.98598309040311</v>
      </c>
      <c r="X56" t="s">
        <v>64</v>
      </c>
      <c r="AC56" s="7"/>
    </row>
    <row r="57" spans="1:29">
      <c r="A57" s="7"/>
      <c r="C57" s="1" t="s">
        <v>29</v>
      </c>
      <c r="D57" s="4">
        <v>1.650969209244702E-3</v>
      </c>
      <c r="E57" s="4">
        <v>8.745835990187651E-4</v>
      </c>
      <c r="F57" s="4">
        <v>8.8523251885976257E-4</v>
      </c>
      <c r="G57" s="4">
        <v>4.689426295642482E-4</v>
      </c>
      <c r="H57" s="4">
        <v>3.2421489316401229E-3</v>
      </c>
      <c r="I57" s="4">
        <v>1.7174943453281502E-3</v>
      </c>
      <c r="J57" s="4">
        <v>1.7384065367198999E-3</v>
      </c>
      <c r="K57" s="4">
        <v>9.2090260492368192E-4</v>
      </c>
      <c r="X57">
        <v>0.21000467801942382</v>
      </c>
      <c r="AC57" s="7"/>
    </row>
    <row r="58" spans="1:29">
      <c r="A58" s="7"/>
      <c r="C58" s="1"/>
      <c r="D58" s="1" t="s">
        <v>13</v>
      </c>
      <c r="E58" s="1" t="s">
        <v>14</v>
      </c>
      <c r="F58" s="1" t="s">
        <v>15</v>
      </c>
      <c r="G58" s="1" t="s">
        <v>16</v>
      </c>
      <c r="H58" s="1" t="s">
        <v>17</v>
      </c>
      <c r="I58" s="1" t="s">
        <v>18</v>
      </c>
      <c r="J58" s="1" t="s">
        <v>19</v>
      </c>
      <c r="K58" s="1" t="s">
        <v>20</v>
      </c>
      <c r="L58" s="1"/>
      <c r="X58">
        <v>0.7899953219805762</v>
      </c>
      <c r="Y58" t="s">
        <v>65</v>
      </c>
      <c r="AC58" s="7"/>
    </row>
    <row r="59" spans="1:29">
      <c r="A59" s="7"/>
      <c r="B59" s="4">
        <v>0.1435790156226274</v>
      </c>
      <c r="C59" s="1" t="s">
        <v>13</v>
      </c>
      <c r="D59" s="4">
        <v>2.3704453388662187E-4</v>
      </c>
      <c r="E59" s="4">
        <v>1.2557185222680897E-4</v>
      </c>
      <c r="F59" s="4">
        <v>1.2710081365502365E-4</v>
      </c>
      <c r="G59" s="4">
        <v>6.733032113632117E-5</v>
      </c>
      <c r="H59" s="4">
        <v>4.6550455210684195E-4</v>
      </c>
      <c r="I59" s="4">
        <v>2.4659614743964466E-4</v>
      </c>
      <c r="J59" s="4">
        <v>2.495986992941841E-4</v>
      </c>
      <c r="K59" s="4">
        <v>1.322222894992556E-4</v>
      </c>
      <c r="AC59" s="7"/>
    </row>
    <row r="60" spans="1:29">
      <c r="A60" s="7"/>
      <c r="B60" s="4">
        <v>7.605947556360336E-2</v>
      </c>
      <c r="C60" s="1" t="s">
        <v>14</v>
      </c>
      <c r="D60" s="4">
        <v>1.2557185222680897E-4</v>
      </c>
      <c r="E60" s="4">
        <v>6.6520369877896046E-5</v>
      </c>
      <c r="F60" s="4">
        <v>6.7330321136321156E-5</v>
      </c>
      <c r="G60" s="4">
        <v>3.5667530474073836E-5</v>
      </c>
      <c r="H60" s="4">
        <v>2.4659614743964466E-4</v>
      </c>
      <c r="I60" s="4">
        <v>1.3063171918911338E-4</v>
      </c>
      <c r="J60" s="4">
        <v>1.3222228949925558E-4</v>
      </c>
      <c r="K60" s="4">
        <v>7.0043369175651468E-5</v>
      </c>
      <c r="O60" s="22"/>
      <c r="P60" s="22"/>
      <c r="Q60" s="22"/>
      <c r="R60" s="22"/>
      <c r="S60" s="22"/>
      <c r="T60" s="22"/>
      <c r="U60" s="22"/>
      <c r="V60" s="22"/>
      <c r="AC60" s="7"/>
    </row>
    <row r="61" spans="1:29">
      <c r="A61" s="7"/>
      <c r="B61" s="4">
        <v>7.6985574863125836E-2</v>
      </c>
      <c r="C61" s="1" t="s">
        <v>15</v>
      </c>
      <c r="D61" s="4">
        <v>1.2710081365502367E-4</v>
      </c>
      <c r="E61" s="4">
        <v>6.733032113632117E-5</v>
      </c>
      <c r="F61" s="4">
        <v>6.81501343519517E-5</v>
      </c>
      <c r="G61" s="4">
        <v>3.6101817914829519E-5</v>
      </c>
      <c r="H61" s="4">
        <v>2.4959869929418415E-4</v>
      </c>
      <c r="I61" s="4">
        <v>1.322222894992556E-4</v>
      </c>
      <c r="J61" s="4">
        <v>1.3383222657519718E-4</v>
      </c>
      <c r="K61" s="4">
        <v>7.0896216432999703E-5</v>
      </c>
      <c r="O61" s="22"/>
      <c r="P61" s="22"/>
      <c r="Q61" s="22"/>
      <c r="R61" s="22"/>
      <c r="S61" s="22"/>
      <c r="T61" s="22"/>
      <c r="U61" s="22"/>
      <c r="V61" s="22"/>
      <c r="AC61" s="7"/>
    </row>
    <row r="62" spans="1:29">
      <c r="A62" s="7"/>
      <c r="B62" s="4">
        <v>4.0782299729941032E-2</v>
      </c>
      <c r="C62" s="1" t="s">
        <v>16</v>
      </c>
      <c r="D62" s="4">
        <v>6.733032113632117E-5</v>
      </c>
      <c r="E62" s="4">
        <v>3.5667530474073843E-5</v>
      </c>
      <c r="F62" s="4">
        <v>3.6101817914829512E-5</v>
      </c>
      <c r="G62" s="4">
        <v>1.9124558875035878E-5</v>
      </c>
      <c r="H62" s="4">
        <v>1.322222894992556E-4</v>
      </c>
      <c r="I62" s="4">
        <v>7.0043369175651468E-5</v>
      </c>
      <c r="J62" s="4">
        <v>7.0896216432999703E-5</v>
      </c>
      <c r="K62" s="4">
        <v>3.7556526056081065E-5</v>
      </c>
      <c r="O62" s="22"/>
      <c r="P62" s="22"/>
      <c r="Q62" s="22"/>
      <c r="R62" s="22"/>
      <c r="S62" s="22"/>
      <c r="T62" s="22"/>
      <c r="U62" s="22"/>
      <c r="V62" s="22"/>
      <c r="AC62" s="7"/>
    </row>
    <row r="63" spans="1:29">
      <c r="A63" s="7"/>
      <c r="B63" s="4">
        <v>0.28195834876884507</v>
      </c>
      <c r="C63" s="1" t="s">
        <v>17</v>
      </c>
      <c r="D63" s="4">
        <v>4.6550455210684206E-4</v>
      </c>
      <c r="E63" s="4">
        <v>2.4659614743964472E-4</v>
      </c>
      <c r="F63" s="4">
        <v>2.4959869929418415E-4</v>
      </c>
      <c r="G63" s="4">
        <v>1.322222894992556E-4</v>
      </c>
      <c r="H63" s="4">
        <v>9.1415095922792416E-4</v>
      </c>
      <c r="I63" s="4">
        <v>4.8426186962855378E-4</v>
      </c>
      <c r="J63" s="4">
        <v>4.9015823658250964E-4</v>
      </c>
      <c r="K63" s="4">
        <v>2.5965617786120947E-4</v>
      </c>
      <c r="O63" s="22"/>
      <c r="P63" s="22"/>
      <c r="Q63" s="22"/>
      <c r="R63" s="22"/>
      <c r="S63" s="22"/>
      <c r="T63" s="22"/>
      <c r="U63" s="22"/>
      <c r="V63" s="22"/>
      <c r="AC63" s="7"/>
    </row>
    <row r="64" spans="1:29">
      <c r="A64" s="7"/>
      <c r="B64" s="4">
        <v>0.14936447394585839</v>
      </c>
      <c r="C64" s="1" t="s">
        <v>18</v>
      </c>
      <c r="D64" s="4">
        <v>2.4659614743964472E-4</v>
      </c>
      <c r="E64" s="4">
        <v>1.306317191891134E-4</v>
      </c>
      <c r="F64" s="4">
        <v>1.322222894992556E-4</v>
      </c>
      <c r="G64" s="4">
        <v>7.0043369175651468E-5</v>
      </c>
      <c r="H64" s="4">
        <v>4.8426186962855373E-4</v>
      </c>
      <c r="I64" s="4">
        <v>2.5653263939492559E-4</v>
      </c>
      <c r="J64" s="4">
        <v>2.5965617786120941E-4</v>
      </c>
      <c r="K64" s="4">
        <v>1.375501331397964E-4</v>
      </c>
      <c r="O64" s="22"/>
      <c r="P64" s="22"/>
      <c r="Q64" s="22"/>
      <c r="R64" s="22"/>
      <c r="S64" s="22"/>
      <c r="T64" s="22"/>
      <c r="U64" s="22"/>
      <c r="V64" s="22"/>
      <c r="AC64" s="7"/>
    </row>
    <row r="65" spans="1:29">
      <c r="A65" s="7"/>
      <c r="B65" s="4">
        <v>0.15118313406242895</v>
      </c>
      <c r="C65" s="1" t="s">
        <v>19</v>
      </c>
      <c r="D65" s="4">
        <v>2.495986992941841E-4</v>
      </c>
      <c r="E65" s="4">
        <v>1.3222228949925558E-4</v>
      </c>
      <c r="F65" s="4">
        <v>1.3383222657519715E-4</v>
      </c>
      <c r="G65" s="4">
        <v>7.089621643299969E-5</v>
      </c>
      <c r="H65" s="4">
        <v>4.9015823658250953E-4</v>
      </c>
      <c r="I65" s="4">
        <v>2.5965617786120936E-4</v>
      </c>
      <c r="J65" s="4">
        <v>2.6281774849592744E-4</v>
      </c>
      <c r="K65" s="4">
        <v>1.3922494197861704E-4</v>
      </c>
      <c r="O65" s="22"/>
      <c r="P65" s="22"/>
      <c r="Q65" s="22"/>
      <c r="R65" s="22"/>
      <c r="S65" s="22"/>
      <c r="T65" s="22"/>
      <c r="U65" s="22"/>
      <c r="V65" s="22"/>
      <c r="AC65" s="7"/>
    </row>
    <row r="66" spans="1:29">
      <c r="A66" s="7"/>
      <c r="B66" s="4">
        <v>8.0087677443570038E-2</v>
      </c>
      <c r="C66" s="1" t="s">
        <v>20</v>
      </c>
      <c r="D66" s="4">
        <v>1.3222228949925558E-4</v>
      </c>
      <c r="E66" s="4">
        <v>7.0043369175651454E-5</v>
      </c>
      <c r="F66" s="4">
        <v>7.089621643299969E-5</v>
      </c>
      <c r="G66" s="4">
        <v>3.7556526056081058E-5</v>
      </c>
      <c r="H66" s="4">
        <v>2.5965617786120936E-4</v>
      </c>
      <c r="I66" s="4">
        <v>1.3755013313979637E-4</v>
      </c>
      <c r="J66" s="4">
        <v>1.3922494197861704E-4</v>
      </c>
      <c r="K66" s="4">
        <v>7.3752950780071246E-5</v>
      </c>
      <c r="O66" s="22"/>
      <c r="P66" s="22"/>
      <c r="Q66" s="22"/>
      <c r="R66" s="22"/>
      <c r="S66" s="22"/>
      <c r="T66" s="22"/>
      <c r="U66" s="22"/>
      <c r="V66" s="22"/>
      <c r="AC66" s="7"/>
    </row>
    <row r="67" spans="1:29">
      <c r="A67" s="7"/>
      <c r="O67" s="22"/>
      <c r="P67" s="22"/>
      <c r="Q67" s="22"/>
      <c r="R67" s="22"/>
      <c r="S67" s="22"/>
      <c r="T67" s="22"/>
      <c r="U67" s="22"/>
      <c r="V67" s="22"/>
      <c r="AC67" s="7"/>
    </row>
    <row r="68" spans="1:29">
      <c r="A68" s="7"/>
      <c r="C68" s="1" t="s">
        <v>30</v>
      </c>
      <c r="D68" s="4">
        <v>1.6409534979588514E-4</v>
      </c>
      <c r="E68" s="4">
        <v>3.097661220690607E-4</v>
      </c>
      <c r="F68" s="4">
        <v>8.7986219863810203E-5</v>
      </c>
      <c r="G68" s="4">
        <v>1.6609337288735098E-4</v>
      </c>
      <c r="H68" s="4">
        <v>3.2224802258500908E-4</v>
      </c>
      <c r="I68" s="4">
        <v>6.0831413214784767E-4</v>
      </c>
      <c r="J68" s="4">
        <v>1.7278603812424231E-4</v>
      </c>
      <c r="K68" s="4">
        <v>3.2617171080106725E-4</v>
      </c>
      <c r="O68" s="5"/>
      <c r="P68" s="5"/>
      <c r="Q68" s="5"/>
      <c r="R68" s="5"/>
      <c r="S68" s="5"/>
      <c r="T68" s="5"/>
      <c r="U68" s="5"/>
      <c r="V68" s="5"/>
      <c r="AC68" s="7"/>
    </row>
    <row r="69" spans="1:29">
      <c r="A69" s="7"/>
      <c r="C69" s="1"/>
      <c r="D69" s="1" t="s">
        <v>13</v>
      </c>
      <c r="E69" s="1" t="s">
        <v>14</v>
      </c>
      <c r="F69" s="1" t="s">
        <v>15</v>
      </c>
      <c r="G69" s="1" t="s">
        <v>16</v>
      </c>
      <c r="H69" s="1" t="s">
        <v>17</v>
      </c>
      <c r="I69" s="1" t="s">
        <v>18</v>
      </c>
      <c r="J69" s="1" t="s">
        <v>19</v>
      </c>
      <c r="K69" s="1" t="s">
        <v>20</v>
      </c>
      <c r="L69" s="1"/>
      <c r="AC69" s="7"/>
    </row>
    <row r="70" spans="1:29">
      <c r="A70" s="7"/>
      <c r="B70" s="4">
        <v>7.605947556360336E-2</v>
      </c>
      <c r="C70" s="1" t="s">
        <v>13</v>
      </c>
      <c r="D70" s="4">
        <v>1.2481006247901071E-5</v>
      </c>
      <c r="E70" s="4">
        <v>2.3560648791943897E-5</v>
      </c>
      <c r="F70" s="4">
        <v>6.6921857396653047E-6</v>
      </c>
      <c r="G70" s="4">
        <v>1.2632974836401933E-5</v>
      </c>
      <c r="H70" s="4">
        <v>2.4510015599224001E-5</v>
      </c>
      <c r="I70" s="4">
        <v>4.6268053869093802E-5</v>
      </c>
      <c r="J70" s="4">
        <v>1.3142015444442646E-5</v>
      </c>
      <c r="K70" s="4">
        <v>2.4808449267212476E-5</v>
      </c>
      <c r="AC70" s="7"/>
    </row>
    <row r="71" spans="1:29">
      <c r="A71" s="7"/>
      <c r="B71" s="4">
        <v>0.1435790156226274</v>
      </c>
      <c r="C71" s="1" t="s">
        <v>14</v>
      </c>
      <c r="D71" s="4">
        <v>2.35606487919439E-5</v>
      </c>
      <c r="E71" s="4">
        <v>4.447591487991437E-5</v>
      </c>
      <c r="F71" s="4">
        <v>1.2632974836401935E-5</v>
      </c>
      <c r="G71" s="4">
        <v>2.3847522980607846E-5</v>
      </c>
      <c r="H71" s="4">
        <v>4.6268053869093808E-5</v>
      </c>
      <c r="I71" s="4">
        <v>8.7341144283120854E-5</v>
      </c>
      <c r="J71" s="4">
        <v>2.480844926721248E-5</v>
      </c>
      <c r="K71" s="4">
        <v>4.6831413160765541E-5</v>
      </c>
      <c r="AC71" s="7"/>
    </row>
    <row r="72" spans="1:29">
      <c r="A72" s="7"/>
      <c r="B72" s="4">
        <v>4.0782299729941032E-2</v>
      </c>
      <c r="C72" s="1" t="s">
        <v>15</v>
      </c>
      <c r="D72" s="4">
        <v>6.6921857396653055E-6</v>
      </c>
      <c r="E72" s="4">
        <v>1.2632974836401935E-5</v>
      </c>
      <c r="F72" s="4">
        <v>3.5882803905903991E-6</v>
      </c>
      <c r="G72" s="4">
        <v>6.773669716248809E-6</v>
      </c>
      <c r="H72" s="4">
        <v>1.3142015444442648E-5</v>
      </c>
      <c r="I72" s="4">
        <v>2.4808449267212483E-5</v>
      </c>
      <c r="J72" s="4">
        <v>7.0466119959318684E-6</v>
      </c>
      <c r="K72" s="4">
        <v>1.3302032473316769E-5</v>
      </c>
      <c r="AC72" s="7"/>
    </row>
    <row r="73" spans="1:29">
      <c r="A73" s="7"/>
      <c r="B73" s="4">
        <v>7.6985574863125836E-2</v>
      </c>
      <c r="C73" s="1" t="s">
        <v>16</v>
      </c>
      <c r="D73" s="4">
        <v>1.2632974836401936E-5</v>
      </c>
      <c r="E73" s="4">
        <v>2.3847522980607849E-5</v>
      </c>
      <c r="F73" s="4">
        <v>6.7736697162488099E-6</v>
      </c>
      <c r="G73" s="4">
        <v>1.2786793792688233E-5</v>
      </c>
      <c r="H73" s="4">
        <v>2.4808449267212483E-5</v>
      </c>
      <c r="I73" s="4">
        <v>4.6831413160765548E-5</v>
      </c>
      <c r="J73" s="4">
        <v>1.3302032473316771E-5</v>
      </c>
      <c r="K73" s="4">
        <v>2.5110516660109391E-5</v>
      </c>
      <c r="AC73" s="7"/>
    </row>
    <row r="74" spans="1:29">
      <c r="A74" s="7"/>
      <c r="B74" s="4">
        <v>0.14936447394585839</v>
      </c>
      <c r="C74" s="1" t="s">
        <v>17</v>
      </c>
      <c r="D74" s="4">
        <v>2.4510015599224004E-5</v>
      </c>
      <c r="E74" s="4">
        <v>4.6268053869093808E-5</v>
      </c>
      <c r="F74" s="4">
        <v>1.3142015444442648E-5</v>
      </c>
      <c r="G74" s="4">
        <v>2.480844926721248E-5</v>
      </c>
      <c r="H74" s="4">
        <v>4.8132406373502976E-5</v>
      </c>
      <c r="I74" s="4">
        <v>9.0860520342094656E-5</v>
      </c>
      <c r="J74" s="4">
        <v>2.5808095689616486E-5</v>
      </c>
      <c r="K74" s="4">
        <v>4.8718465999822067E-5</v>
      </c>
      <c r="AC74" s="7"/>
    </row>
    <row r="75" spans="1:29">
      <c r="A75" s="7"/>
      <c r="B75" s="4">
        <v>0.28195834876884507</v>
      </c>
      <c r="C75" s="1" t="s">
        <v>18</v>
      </c>
      <c r="D75" s="4">
        <v>4.6268053869093808E-5</v>
      </c>
      <c r="E75" s="4">
        <v>8.7341144283120854E-5</v>
      </c>
      <c r="F75" s="4">
        <v>2.480844926721248E-5</v>
      </c>
      <c r="G75" s="4">
        <v>4.6831413160765541E-5</v>
      </c>
      <c r="H75" s="4">
        <v>9.0860520342094656E-5</v>
      </c>
      <c r="I75" s="4">
        <v>1.7151924823316015E-4</v>
      </c>
      <c r="J75" s="4">
        <v>4.8718465999822074E-5</v>
      </c>
      <c r="K75" s="4">
        <v>9.1966836992578185E-5</v>
      </c>
      <c r="AC75" s="7"/>
    </row>
    <row r="76" spans="1:29">
      <c r="A76" s="7"/>
      <c r="B76" s="4">
        <v>8.0087677443570038E-2</v>
      </c>
      <c r="C76" s="1" t="s">
        <v>19</v>
      </c>
      <c r="D76" s="4">
        <v>1.3142015444442644E-5</v>
      </c>
      <c r="E76" s="4">
        <v>2.4808449267212476E-5</v>
      </c>
      <c r="F76" s="4">
        <v>7.0466119959318667E-6</v>
      </c>
      <c r="G76" s="4">
        <v>1.3302032473316766E-5</v>
      </c>
      <c r="H76" s="4">
        <v>2.5808095689616479E-5</v>
      </c>
      <c r="I76" s="4">
        <v>4.871846599982206E-5</v>
      </c>
      <c r="J76" s="4">
        <v>1.3838032488046714E-5</v>
      </c>
      <c r="K76" s="4">
        <v>2.6122334765853284E-5</v>
      </c>
      <c r="AC76" s="7"/>
    </row>
    <row r="77" spans="1:29">
      <c r="A77" s="7"/>
      <c r="B77" s="4">
        <v>0.15118313406242895</v>
      </c>
      <c r="C77" s="1" t="s">
        <v>20</v>
      </c>
      <c r="D77" s="4">
        <v>2.4808449267212476E-5</v>
      </c>
      <c r="E77" s="4">
        <v>4.6831413160765535E-5</v>
      </c>
      <c r="F77" s="4">
        <v>1.3302032473316766E-5</v>
      </c>
      <c r="G77" s="4">
        <v>2.5110516660109384E-5</v>
      </c>
      <c r="H77" s="4">
        <v>4.871846599982206E-5</v>
      </c>
      <c r="I77" s="4">
        <v>9.1966836992578172E-5</v>
      </c>
      <c r="J77" s="4">
        <v>2.6122334765853284E-5</v>
      </c>
      <c r="K77" s="4">
        <v>4.9311661481409554E-5</v>
      </c>
      <c r="AC77" s="7"/>
    </row>
    <row r="78" spans="1:29">
      <c r="A78" s="7"/>
      <c r="AC78" s="7"/>
    </row>
    <row r="79" spans="1:29">
      <c r="A79" s="7"/>
      <c r="C79" s="1" t="s">
        <v>31</v>
      </c>
      <c r="D79" s="4">
        <v>7.3791871460947761E-2</v>
      </c>
      <c r="E79" s="4">
        <v>3.9090468895038179E-2</v>
      </c>
      <c r="F79" s="4">
        <v>0.13762272067398765</v>
      </c>
      <c r="G79" s="4">
        <v>7.2904190871539473E-2</v>
      </c>
      <c r="H79" s="4">
        <v>0.14491138652445756</v>
      </c>
      <c r="I79" s="4">
        <v>7.6765285055400964E-2</v>
      </c>
      <c r="J79" s="4">
        <v>0.27026146478328578</v>
      </c>
      <c r="K79" s="4">
        <v>0.14316817250297717</v>
      </c>
      <c r="AC79" s="7"/>
    </row>
    <row r="80" spans="1:29">
      <c r="A80" s="7"/>
      <c r="C80" s="1"/>
      <c r="D80" s="1" t="s">
        <v>13</v>
      </c>
      <c r="E80" s="1" t="s">
        <v>14</v>
      </c>
      <c r="F80" s="1" t="s">
        <v>15</v>
      </c>
      <c r="G80" s="1" t="s">
        <v>16</v>
      </c>
      <c r="H80" s="1" t="s">
        <v>17</v>
      </c>
      <c r="I80" s="1" t="s">
        <v>18</v>
      </c>
      <c r="J80" s="1" t="s">
        <v>19</v>
      </c>
      <c r="K80" s="1" t="s">
        <v>20</v>
      </c>
      <c r="L80" s="1"/>
      <c r="AC80" s="7"/>
    </row>
    <row r="81" spans="1:29">
      <c r="A81" s="7"/>
      <c r="B81" s="4">
        <v>7.6985574863125836E-2</v>
      </c>
      <c r="C81" s="1" t="s">
        <v>13</v>
      </c>
      <c r="D81" s="4">
        <v>5.6809096446469526E-3</v>
      </c>
      <c r="E81" s="4">
        <v>3.0094022195536535E-3</v>
      </c>
      <c r="F81" s="4">
        <v>1.0594964265314331E-2</v>
      </c>
      <c r="G81" s="4">
        <v>5.6125710441765177E-3</v>
      </c>
      <c r="H81" s="4">
        <v>1.1156086395797992E-2</v>
      </c>
      <c r="I81" s="4">
        <v>5.9098195995217657E-3</v>
      </c>
      <c r="J81" s="4">
        <v>2.0806234229691693E-2</v>
      </c>
      <c r="K81" s="4">
        <v>1.1021884062244863E-2</v>
      </c>
      <c r="AC81" s="7"/>
    </row>
    <row r="82" spans="1:29">
      <c r="A82" s="7"/>
      <c r="B82" s="4">
        <v>4.0782299729941032E-2</v>
      </c>
      <c r="C82" s="1" t="s">
        <v>14</v>
      </c>
      <c r="D82" s="4">
        <v>3.009402219553653E-3</v>
      </c>
      <c r="E82" s="4">
        <v>1.5941992190613838E-3</v>
      </c>
      <c r="F82" s="4">
        <v>5.6125710441765168E-3</v>
      </c>
      <c r="G82" s="4">
        <v>2.9732005636919539E-3</v>
      </c>
      <c r="H82" s="4">
        <v>5.9098195995217666E-3</v>
      </c>
      <c r="I82" s="4">
        <v>3.1306648639837253E-3</v>
      </c>
      <c r="J82" s="4">
        <v>1.1021884062244863E-2</v>
      </c>
      <c r="K82" s="4">
        <v>5.8387273228043173E-3</v>
      </c>
      <c r="AC82" s="7"/>
    </row>
    <row r="83" spans="1:29">
      <c r="A83" s="7"/>
      <c r="B83" s="4">
        <v>0.1435790156226274</v>
      </c>
      <c r="C83" s="1" t="s">
        <v>15</v>
      </c>
      <c r="D83" s="4">
        <v>1.0594964265314331E-2</v>
      </c>
      <c r="E83" s="4">
        <v>5.6125710441765168E-3</v>
      </c>
      <c r="F83" s="4">
        <v>1.9759734761678961E-2</v>
      </c>
      <c r="G83" s="4">
        <v>1.0467511960099776E-2</v>
      </c>
      <c r="H83" s="4">
        <v>2.0806234229691689E-2</v>
      </c>
      <c r="I83" s="4">
        <v>1.1021884062244861E-2</v>
      </c>
      <c r="J83" s="4">
        <v>3.880387507431355E-2</v>
      </c>
      <c r="K83" s="4">
        <v>2.0555945276467973E-2</v>
      </c>
      <c r="AC83" s="7"/>
    </row>
    <row r="84" spans="1:29">
      <c r="A84" s="7"/>
      <c r="B84" s="4">
        <v>7.605947556360336E-2</v>
      </c>
      <c r="C84" s="1" t="s">
        <v>16</v>
      </c>
      <c r="D84" s="4">
        <v>5.612571044176516E-3</v>
      </c>
      <c r="E84" s="4">
        <v>2.9732005636919534E-3</v>
      </c>
      <c r="F84" s="4">
        <v>1.0467511960099775E-2</v>
      </c>
      <c r="G84" s="4">
        <v>5.5450545240781314E-3</v>
      </c>
      <c r="H84" s="4">
        <v>1.1021884062244861E-2</v>
      </c>
      <c r="I84" s="4">
        <v>5.8387273228043155E-3</v>
      </c>
      <c r="J84" s="4">
        <v>2.0555945276467976E-2</v>
      </c>
      <c r="K84" s="4">
        <v>1.0889296117975943E-2</v>
      </c>
      <c r="AC84" s="7"/>
    </row>
    <row r="85" spans="1:29">
      <c r="A85" s="7"/>
      <c r="B85" s="4">
        <v>0.15118313406242895</v>
      </c>
      <c r="C85" s="1" t="s">
        <v>17</v>
      </c>
      <c r="D85" s="4">
        <v>1.1156086395797991E-2</v>
      </c>
      <c r="E85" s="4">
        <v>5.9098195995217657E-3</v>
      </c>
      <c r="F85" s="4">
        <v>2.0806234229691686E-2</v>
      </c>
      <c r="G85" s="4">
        <v>1.1021884062244861E-2</v>
      </c>
      <c r="H85" s="4">
        <v>2.1908157576099527E-2</v>
      </c>
      <c r="I85" s="4">
        <v>1.1605616381871258E-2</v>
      </c>
      <c r="J85" s="4">
        <v>4.0858975262239916E-2</v>
      </c>
      <c r="K85" s="4">
        <v>2.1644613016990551E-2</v>
      </c>
      <c r="AC85" s="7"/>
    </row>
    <row r="86" spans="1:29">
      <c r="A86" s="7"/>
      <c r="B86" s="4">
        <v>8.0087677443570038E-2</v>
      </c>
      <c r="C86" s="1" t="s">
        <v>18</v>
      </c>
      <c r="D86" s="4">
        <v>5.9098195995217657E-3</v>
      </c>
      <c r="E86" s="4">
        <v>3.1306648639837253E-3</v>
      </c>
      <c r="F86" s="4">
        <v>1.1021884062244861E-2</v>
      </c>
      <c r="G86" s="4">
        <v>5.8387273228043164E-3</v>
      </c>
      <c r="H86" s="4">
        <v>1.1605616381871259E-2</v>
      </c>
      <c r="I86" s="4">
        <v>6.1479533883806595E-3</v>
      </c>
      <c r="J86" s="4">
        <v>2.1644613016990555E-2</v>
      </c>
      <c r="K86" s="4">
        <v>1.1466006419603828E-2</v>
      </c>
      <c r="AC86" s="7"/>
    </row>
    <row r="87" spans="1:29">
      <c r="A87" s="7"/>
      <c r="B87" s="4">
        <v>0.28195834876884507</v>
      </c>
      <c r="C87" s="1" t="s">
        <v>19</v>
      </c>
      <c r="D87" s="4">
        <v>2.0806234229691693E-2</v>
      </c>
      <c r="E87" s="4">
        <v>1.1021884062244865E-2</v>
      </c>
      <c r="F87" s="4">
        <v>3.8803875074313557E-2</v>
      </c>
      <c r="G87" s="4">
        <v>2.0555945276467976E-2</v>
      </c>
      <c r="H87" s="4">
        <v>4.0858975262239923E-2</v>
      </c>
      <c r="I87" s="4">
        <v>2.1644613016990555E-2</v>
      </c>
      <c r="J87" s="4">
        <v>7.6202476346144632E-2</v>
      </c>
      <c r="K87" s="4">
        <v>4.0367461515192611E-2</v>
      </c>
      <c r="AC87" s="7"/>
    </row>
    <row r="88" spans="1:29">
      <c r="A88" s="7"/>
      <c r="B88" s="4">
        <v>0.14936447394585839</v>
      </c>
      <c r="C88" s="1" t="s">
        <v>20</v>
      </c>
      <c r="D88" s="4">
        <v>1.1021884062244863E-2</v>
      </c>
      <c r="E88" s="4">
        <v>5.8387273228043182E-3</v>
      </c>
      <c r="F88" s="4">
        <v>2.0555945276467976E-2</v>
      </c>
      <c r="G88" s="4">
        <v>1.0889296117975945E-2</v>
      </c>
      <c r="H88" s="4">
        <v>2.1644613016990555E-2</v>
      </c>
      <c r="I88" s="4">
        <v>1.146600641960383E-2</v>
      </c>
      <c r="J88" s="4">
        <v>4.0367461515192611E-2</v>
      </c>
      <c r="K88" s="4">
        <v>2.1384238771697092E-2</v>
      </c>
      <c r="AC88" s="7"/>
    </row>
    <row r="89" spans="1:29">
      <c r="A89" s="7"/>
      <c r="AC89" s="7"/>
    </row>
    <row r="90" spans="1:29">
      <c r="A90" s="7"/>
      <c r="C90" s="1" t="s">
        <v>32</v>
      </c>
      <c r="D90" s="4">
        <v>6.3638669373475759E-5</v>
      </c>
      <c r="E90" s="4">
        <v>1.2013200770148219E-4</v>
      </c>
      <c r="F90" s="4">
        <v>1.1868687764458034E-4</v>
      </c>
      <c r="G90" s="4">
        <v>2.2404762763952909E-4</v>
      </c>
      <c r="H90" s="4">
        <v>1.2497267833032759E-4</v>
      </c>
      <c r="I90" s="4">
        <v>2.3591346116220329E-4</v>
      </c>
      <c r="J90" s="4">
        <v>2.3307553611561275E-4</v>
      </c>
      <c r="K90" s="4">
        <v>4.3998141971425406E-4</v>
      </c>
      <c r="AC90" s="7"/>
    </row>
    <row r="91" spans="1:29">
      <c r="A91" s="7"/>
      <c r="C91" s="1"/>
      <c r="D91" s="1" t="s">
        <v>13</v>
      </c>
      <c r="E91" s="1" t="s">
        <v>14</v>
      </c>
      <c r="F91" s="1" t="s">
        <v>15</v>
      </c>
      <c r="G91" s="1" t="s">
        <v>16</v>
      </c>
      <c r="H91" s="1" t="s">
        <v>17</v>
      </c>
      <c r="I91" s="1" t="s">
        <v>18</v>
      </c>
      <c r="J91" s="1" t="s">
        <v>19</v>
      </c>
      <c r="K91" s="1" t="s">
        <v>20</v>
      </c>
      <c r="AC91" s="7"/>
    </row>
    <row r="92" spans="1:29">
      <c r="A92" s="7"/>
      <c r="B92" s="4">
        <v>4.0782299729941032E-2</v>
      </c>
      <c r="C92" s="1" t="s">
        <v>13</v>
      </c>
      <c r="D92" s="4">
        <v>2.5953312888037072E-6</v>
      </c>
      <c r="E92" s="4">
        <v>4.8992595452414314E-6</v>
      </c>
      <c r="F92" s="4">
        <v>4.8403238181121131E-6</v>
      </c>
      <c r="G92" s="4">
        <v>9.1371775041774967E-6</v>
      </c>
      <c r="H92" s="4">
        <v>5.0966732257209263E-6</v>
      </c>
      <c r="I92" s="4">
        <v>9.6210934834447773E-6</v>
      </c>
      <c r="J92" s="4">
        <v>9.5053563735836156E-6</v>
      </c>
      <c r="K92" s="4">
        <v>1.7943454134391697E-5</v>
      </c>
      <c r="AC92" s="7"/>
    </row>
    <row r="93" spans="1:29">
      <c r="A93" s="7"/>
      <c r="B93" s="4">
        <v>7.6985574863125836E-2</v>
      </c>
      <c r="C93" s="1" t="s">
        <v>14</v>
      </c>
      <c r="D93" s="4">
        <v>4.8992595452414314E-6</v>
      </c>
      <c r="E93" s="4">
        <v>9.2484316723600669E-6</v>
      </c>
      <c r="F93" s="4">
        <v>9.137177504177495E-6</v>
      </c>
      <c r="G93" s="4">
        <v>1.7248435410548709E-5</v>
      </c>
      <c r="H93" s="4">
        <v>9.621093483444779E-6</v>
      </c>
      <c r="I93" s="4">
        <v>1.8161933425521929E-5</v>
      </c>
      <c r="J93" s="4">
        <v>1.7943454134391694E-5</v>
      </c>
      <c r="K93" s="4">
        <v>3.3872222525796093E-5</v>
      </c>
      <c r="AC93" s="7"/>
    </row>
    <row r="94" spans="1:29">
      <c r="A94" s="7"/>
      <c r="B94" s="4">
        <v>7.605947556360336E-2</v>
      </c>
      <c r="C94" s="1" t="s">
        <v>15</v>
      </c>
      <c r="D94" s="4">
        <v>4.8403238181121131E-6</v>
      </c>
      <c r="E94" s="4">
        <v>9.137177504177495E-6</v>
      </c>
      <c r="F94" s="4">
        <v>9.0272616699283402E-6</v>
      </c>
      <c r="G94" s="4">
        <v>1.7040945059532069E-5</v>
      </c>
      <c r="H94" s="4">
        <v>9.5053563735836139E-6</v>
      </c>
      <c r="I94" s="4">
        <v>1.794345413439169E-5</v>
      </c>
      <c r="J94" s="4">
        <v>1.77276030436592E-5</v>
      </c>
      <c r="K94" s="4">
        <v>3.3464756041195818E-5</v>
      </c>
      <c r="AC94" s="7"/>
    </row>
    <row r="95" spans="1:29">
      <c r="A95" s="7"/>
      <c r="B95" s="4">
        <v>0.1435790156226274</v>
      </c>
      <c r="C95" s="1" t="s">
        <v>16</v>
      </c>
      <c r="D95" s="4">
        <v>9.137177504177495E-6</v>
      </c>
      <c r="E95" s="4">
        <v>1.7248435410548706E-5</v>
      </c>
      <c r="F95" s="4">
        <v>1.7040945059532065E-5</v>
      </c>
      <c r="G95" s="4">
        <v>3.2168537829068554E-5</v>
      </c>
      <c r="H95" s="4">
        <v>1.7943454134391694E-5</v>
      </c>
      <c r="I95" s="4">
        <v>3.3872222525796086E-5</v>
      </c>
      <c r="J95" s="4">
        <v>3.3464756041195818E-5</v>
      </c>
      <c r="K95" s="4">
        <v>6.3172099134818665E-5</v>
      </c>
      <c r="AC95" s="7"/>
    </row>
    <row r="96" spans="1:29">
      <c r="A96" s="7"/>
      <c r="B96" s="4">
        <v>8.0087677443570038E-2</v>
      </c>
      <c r="C96" s="1" t="s">
        <v>17</v>
      </c>
      <c r="D96" s="4">
        <v>5.0966732257209263E-6</v>
      </c>
      <c r="E96" s="4">
        <v>9.6210934834447773E-6</v>
      </c>
      <c r="F96" s="4">
        <v>9.5053563735836139E-6</v>
      </c>
      <c r="G96" s="4">
        <v>1.7943454134391694E-5</v>
      </c>
      <c r="H96" s="4">
        <v>1.000877155137831E-5</v>
      </c>
      <c r="I96" s="4">
        <v>1.8893761182154725E-5</v>
      </c>
      <c r="J96" s="4">
        <v>1.8666478356414352E-5</v>
      </c>
      <c r="K96" s="4">
        <v>3.5237090023239184E-5</v>
      </c>
      <c r="AC96" s="7"/>
    </row>
    <row r="97" spans="1:29">
      <c r="A97" s="7"/>
      <c r="B97" s="4">
        <v>0.15118313406242895</v>
      </c>
      <c r="C97" s="1" t="s">
        <v>18</v>
      </c>
      <c r="D97" s="4">
        <v>9.6210934834447773E-6</v>
      </c>
      <c r="E97" s="4">
        <v>1.8161933425521929E-5</v>
      </c>
      <c r="F97" s="4">
        <v>1.794345413439169E-5</v>
      </c>
      <c r="G97" s="4">
        <v>3.3872222525796086E-5</v>
      </c>
      <c r="H97" s="4">
        <v>1.8893761182154725E-5</v>
      </c>
      <c r="I97" s="4">
        <v>3.5666136426017002E-5</v>
      </c>
      <c r="J97" s="4">
        <v>3.5237090023239184E-5</v>
      </c>
      <c r="K97" s="4">
        <v>6.6517769961637891E-5</v>
      </c>
      <c r="AC97" s="7"/>
    </row>
    <row r="98" spans="1:29">
      <c r="A98" s="7"/>
      <c r="B98" s="4">
        <v>0.14936447394585839</v>
      </c>
      <c r="C98" s="1" t="s">
        <v>19</v>
      </c>
      <c r="D98" s="4">
        <v>9.5053563735836156E-6</v>
      </c>
      <c r="E98" s="4">
        <v>1.7943454134391697E-5</v>
      </c>
      <c r="F98" s="4">
        <v>1.7727603043659203E-5</v>
      </c>
      <c r="G98" s="4">
        <v>3.3464756041195825E-5</v>
      </c>
      <c r="H98" s="4">
        <v>1.8666478356414356E-5</v>
      </c>
      <c r="I98" s="4">
        <v>3.523709002323919E-5</v>
      </c>
      <c r="J98" s="4">
        <v>3.4813204841557413E-5</v>
      </c>
      <c r="K98" s="4">
        <v>6.5717593301571481E-5</v>
      </c>
      <c r="AC98" s="7"/>
    </row>
    <row r="99" spans="1:29">
      <c r="A99" s="7"/>
      <c r="B99" s="4">
        <v>0.28195834876884507</v>
      </c>
      <c r="C99" s="1" t="s">
        <v>20</v>
      </c>
      <c r="D99" s="4">
        <v>1.7943454134391697E-5</v>
      </c>
      <c r="E99" s="4">
        <v>3.3872222525796099E-5</v>
      </c>
      <c r="F99" s="4">
        <v>3.3464756041195825E-5</v>
      </c>
      <c r="G99" s="4">
        <v>6.3172099134818678E-5</v>
      </c>
      <c r="H99" s="4">
        <v>3.523709002323919E-5</v>
      </c>
      <c r="I99" s="4">
        <v>6.6517769961637905E-5</v>
      </c>
      <c r="J99" s="4">
        <v>6.5717593301571481E-5</v>
      </c>
      <c r="K99" s="4">
        <v>1.2405643459160326E-4</v>
      </c>
      <c r="AC99" s="7"/>
    </row>
    <row r="100" spans="1:29">
      <c r="A100" s="7"/>
      <c r="AC100" s="7"/>
    </row>
    <row r="101" spans="1:29">
      <c r="A101" s="7"/>
      <c r="C101" s="1" t="s">
        <v>33</v>
      </c>
      <c r="AC101" s="7"/>
    </row>
    <row r="102" spans="1:29">
      <c r="A102" s="7"/>
      <c r="C102" s="1"/>
      <c r="D102" s="1" t="s">
        <v>13</v>
      </c>
      <c r="E102" s="1" t="s">
        <v>14</v>
      </c>
      <c r="F102" s="1" t="s">
        <v>15</v>
      </c>
      <c r="G102" s="1" t="s">
        <v>16</v>
      </c>
      <c r="H102" s="1" t="s">
        <v>17</v>
      </c>
      <c r="I102" s="1" t="s">
        <v>18</v>
      </c>
      <c r="J102" s="1" t="s">
        <v>19</v>
      </c>
      <c r="K102" s="1" t="s">
        <v>20</v>
      </c>
      <c r="AC102" s="7"/>
    </row>
    <row r="103" spans="1:29">
      <c r="A103" s="7"/>
      <c r="C103" s="1" t="s">
        <v>13</v>
      </c>
      <c r="D103" s="4">
        <v>7.7316284596621069E-3</v>
      </c>
      <c r="E103" s="4">
        <v>4.1162223506614757E-3</v>
      </c>
      <c r="F103" s="4">
        <v>1.1853326506475626E-2</v>
      </c>
      <c r="G103" s="4">
        <v>6.2948361517975015E-3</v>
      </c>
      <c r="H103" s="4">
        <v>1.2567080863346018E-2</v>
      </c>
      <c r="I103" s="4">
        <v>6.6974844143980359E-3</v>
      </c>
      <c r="J103" s="4">
        <v>2.1648669396126759E-2</v>
      </c>
      <c r="K103" s="4">
        <v>1.149890993988723E-2</v>
      </c>
      <c r="L103" s="7">
        <v>8.2408158082354743E-2</v>
      </c>
      <c r="AC103" s="7"/>
    </row>
    <row r="104" spans="1:29">
      <c r="A104" s="7"/>
      <c r="C104" s="1" t="s">
        <v>14</v>
      </c>
      <c r="D104" s="4">
        <v>4.1162223506614748E-3</v>
      </c>
      <c r="E104" s="4">
        <v>2.2191735679688712E-3</v>
      </c>
      <c r="F104" s="4">
        <v>6.2948361517975015E-3</v>
      </c>
      <c r="G104" s="4">
        <v>3.3641867876848209E-3</v>
      </c>
      <c r="H104" s="4">
        <v>6.6974844143980368E-3</v>
      </c>
      <c r="I104" s="4">
        <v>3.6238184159674493E-3</v>
      </c>
      <c r="J104" s="4">
        <v>1.149890993988723E-2</v>
      </c>
      <c r="K104" s="4">
        <v>6.1494830353103058E-3</v>
      </c>
      <c r="L104" s="7">
        <v>4.3964114663675689E-2</v>
      </c>
      <c r="T104" s="6"/>
      <c r="AC104" s="7"/>
    </row>
    <row r="105" spans="1:29">
      <c r="A105" s="7"/>
      <c r="C105" s="1" t="s">
        <v>15</v>
      </c>
      <c r="D105" s="4">
        <v>1.1853326506475626E-2</v>
      </c>
      <c r="E105" s="4">
        <v>6.2948361517975015E-3</v>
      </c>
      <c r="F105" s="4">
        <v>2.0730597285690818E-2</v>
      </c>
      <c r="G105" s="4">
        <v>1.0998947849416029E-2</v>
      </c>
      <c r="H105" s="4">
        <v>2.1648669396126755E-2</v>
      </c>
      <c r="I105" s="4">
        <v>1.1498909939887229E-2</v>
      </c>
      <c r="J105" s="4">
        <v>3.941573721750679E-2</v>
      </c>
      <c r="K105" s="4">
        <v>2.0913715728933302E-2</v>
      </c>
      <c r="L105" s="7">
        <v>0.14335474007583404</v>
      </c>
      <c r="AC105" s="7"/>
    </row>
    <row r="106" spans="1:29">
      <c r="A106" s="7"/>
      <c r="C106" s="1" t="s">
        <v>16</v>
      </c>
      <c r="D106" s="4">
        <v>6.2948361517974998E-3</v>
      </c>
      <c r="E106" s="4">
        <v>3.3641867876848209E-3</v>
      </c>
      <c r="F106" s="4">
        <v>1.0998947849416027E-2</v>
      </c>
      <c r="G106" s="4">
        <v>5.8589168945108686E-3</v>
      </c>
      <c r="H106" s="4">
        <v>1.1498909939887229E-2</v>
      </c>
      <c r="I106" s="4">
        <v>6.149483035310304E-3</v>
      </c>
      <c r="J106" s="4">
        <v>2.0913715728933305E-2</v>
      </c>
      <c r="K106" s="4">
        <v>1.1142329658381127E-2</v>
      </c>
      <c r="L106" s="7">
        <v>7.6221326045921189E-2</v>
      </c>
      <c r="AC106" s="7"/>
    </row>
    <row r="107" spans="1:29">
      <c r="A107" s="7"/>
      <c r="C107" s="1" t="s">
        <v>17</v>
      </c>
      <c r="D107" s="4">
        <v>1.2567080863346018E-2</v>
      </c>
      <c r="E107" s="4">
        <v>6.6974844143980359E-3</v>
      </c>
      <c r="F107" s="4">
        <v>2.1648669396126752E-2</v>
      </c>
      <c r="G107" s="4">
        <v>1.1498909939887229E-2</v>
      </c>
      <c r="H107" s="4">
        <v>2.334683637169685E-2</v>
      </c>
      <c r="I107" s="4">
        <v>1.244669596703162E-2</v>
      </c>
      <c r="J107" s="4">
        <v>4.16839601386352E-2</v>
      </c>
      <c r="K107" s="4">
        <v>2.2142035708243905E-2</v>
      </c>
      <c r="L107" s="7">
        <v>0.15203167279936561</v>
      </c>
      <c r="AC107" s="7"/>
    </row>
    <row r="108" spans="1:29">
      <c r="A108" s="7"/>
      <c r="C108" s="1" t="s">
        <v>18</v>
      </c>
      <c r="D108" s="4">
        <v>6.6974844143980359E-3</v>
      </c>
      <c r="E108" s="4">
        <v>3.6238184159674493E-3</v>
      </c>
      <c r="F108" s="4">
        <v>1.1498909939887229E-2</v>
      </c>
      <c r="G108" s="4">
        <v>6.1494830353103049E-3</v>
      </c>
      <c r="H108" s="4">
        <v>1.2446695967031622E-2</v>
      </c>
      <c r="I108" s="4">
        <v>6.7425506717754737E-3</v>
      </c>
      <c r="J108" s="4">
        <v>2.2142035708243909E-2</v>
      </c>
      <c r="K108" s="4">
        <v>1.1843520898938959E-2</v>
      </c>
      <c r="L108" s="7">
        <v>8.1144499051552979E-2</v>
      </c>
      <c r="AC108" s="7"/>
    </row>
    <row r="109" spans="1:29">
      <c r="A109" s="7"/>
      <c r="C109" s="1" t="s">
        <v>19</v>
      </c>
      <c r="D109" s="4">
        <v>2.1648669396126759E-2</v>
      </c>
      <c r="E109" s="4">
        <v>1.1498909939887232E-2</v>
      </c>
      <c r="F109" s="4">
        <v>3.9415737217506797E-2</v>
      </c>
      <c r="G109" s="4">
        <v>2.0913715728933305E-2</v>
      </c>
      <c r="H109" s="4">
        <v>4.1683960138635207E-2</v>
      </c>
      <c r="I109" s="4">
        <v>2.2142035708243909E-2</v>
      </c>
      <c r="J109" s="4">
        <v>7.6744752498142527E-2</v>
      </c>
      <c r="K109" s="4">
        <v>4.0720794057427831E-2</v>
      </c>
      <c r="L109" s="7">
        <v>0.27476857468490357</v>
      </c>
      <c r="AC109" s="7"/>
    </row>
    <row r="110" spans="1:29">
      <c r="A110" s="7"/>
      <c r="C110" s="1" t="s">
        <v>20</v>
      </c>
      <c r="D110" s="4">
        <v>1.149890993988723E-2</v>
      </c>
      <c r="E110" s="4">
        <v>6.1494830353103066E-3</v>
      </c>
      <c r="F110" s="4">
        <v>2.0913715728933305E-2</v>
      </c>
      <c r="G110" s="4">
        <v>1.1142329658381129E-2</v>
      </c>
      <c r="H110" s="4">
        <v>2.2142035708243909E-2</v>
      </c>
      <c r="I110" s="4">
        <v>1.1843520898938961E-2</v>
      </c>
      <c r="J110" s="4">
        <v>4.0720794057427831E-2</v>
      </c>
      <c r="K110" s="4">
        <v>2.1696129833755833E-2</v>
      </c>
      <c r="L110" s="7">
        <v>0.14610691886087851</v>
      </c>
      <c r="AC110" s="7"/>
    </row>
    <row r="111" spans="1:29">
      <c r="A111" s="7"/>
      <c r="D111" s="3">
        <v>8.2408158082354743E-2</v>
      </c>
      <c r="E111" s="3">
        <v>4.3964114663675696E-2</v>
      </c>
      <c r="F111" s="3">
        <v>0.14335474007583404</v>
      </c>
      <c r="G111" s="3">
        <v>7.6221326045921189E-2</v>
      </c>
      <c r="H111" s="3">
        <v>0.15203167279936564</v>
      </c>
      <c r="I111" s="3">
        <v>8.1144499051552979E-2</v>
      </c>
      <c r="J111" s="3">
        <v>0.27476857468490357</v>
      </c>
      <c r="K111" s="3">
        <v>0.14610691886087848</v>
      </c>
      <c r="L111" s="7">
        <v>1.0000000042644863</v>
      </c>
      <c r="AC111" s="7"/>
    </row>
    <row r="112" spans="1:29">
      <c r="A112" s="7"/>
      <c r="L112" s="7"/>
      <c r="M112" s="7"/>
      <c r="N112" s="7"/>
      <c r="O112" s="7"/>
      <c r="P112" s="7"/>
      <c r="Q112" s="7"/>
      <c r="R112" s="7"/>
      <c r="S112" s="7"/>
      <c r="T112" s="7"/>
      <c r="U112" s="7"/>
      <c r="V112" s="7"/>
      <c r="W112" s="7"/>
      <c r="X112" s="7"/>
      <c r="Y112" s="7"/>
      <c r="Z112" s="7"/>
      <c r="AA112" s="7"/>
      <c r="AB112" s="7"/>
      <c r="AC112" s="7"/>
    </row>
    <row r="113" spans="1:29">
      <c r="A113" s="7"/>
      <c r="C113" s="1" t="s">
        <v>34</v>
      </c>
      <c r="N113" t="s">
        <v>36</v>
      </c>
      <c r="O113" s="8">
        <v>0.65405166539670068</v>
      </c>
      <c r="W113" t="s">
        <v>54</v>
      </c>
      <c r="Y113" t="s">
        <v>60</v>
      </c>
      <c r="AC113" s="7"/>
    </row>
    <row r="114" spans="1:29">
      <c r="A114" s="7"/>
      <c r="C114" s="1"/>
      <c r="D114" s="1" t="s">
        <v>13</v>
      </c>
      <c r="E114" s="1" t="s">
        <v>14</v>
      </c>
      <c r="F114" s="1" t="s">
        <v>15</v>
      </c>
      <c r="G114" s="1" t="s">
        <v>16</v>
      </c>
      <c r="H114" s="1" t="s">
        <v>17</v>
      </c>
      <c r="I114" s="1" t="s">
        <v>18</v>
      </c>
      <c r="J114" s="1" t="s">
        <v>19</v>
      </c>
      <c r="K114" s="1" t="s">
        <v>20</v>
      </c>
      <c r="N114" t="s">
        <v>37</v>
      </c>
      <c r="O114" s="8">
        <v>0.64045155966753731</v>
      </c>
      <c r="R114" t="s">
        <v>58</v>
      </c>
      <c r="W114" s="1" t="s">
        <v>45</v>
      </c>
      <c r="X114" s="7" t="s">
        <v>47</v>
      </c>
      <c r="Y114" s="7" t="s">
        <v>48</v>
      </c>
      <c r="Z114" s="7" t="s">
        <v>49</v>
      </c>
      <c r="AA114" s="7" t="s">
        <v>50</v>
      </c>
      <c r="AB114" s="7"/>
      <c r="AC114" s="7"/>
    </row>
    <row r="115" spans="1:29">
      <c r="A115" s="7"/>
      <c r="C115" s="1" t="s">
        <v>13</v>
      </c>
      <c r="D115" s="5">
        <v>77.316284596621074</v>
      </c>
      <c r="E115" s="5">
        <v>41.162223506614758</v>
      </c>
      <c r="F115" s="5">
        <v>118.53326506475626</v>
      </c>
      <c r="G115" s="5">
        <v>62.948361517975016</v>
      </c>
      <c r="H115" s="5">
        <v>125.67080863346017</v>
      </c>
      <c r="I115" s="5">
        <v>66.974844143980363</v>
      </c>
      <c r="J115" s="5">
        <v>216.48669396126758</v>
      </c>
      <c r="K115" s="5">
        <v>114.9890993988723</v>
      </c>
      <c r="L115" s="12">
        <v>824.0815808235476</v>
      </c>
      <c r="N115" t="s">
        <v>38</v>
      </c>
      <c r="O115" s="8">
        <v>0.34743685862202839</v>
      </c>
      <c r="W115" s="1" t="s">
        <v>13</v>
      </c>
      <c r="X115" s="5">
        <v>824.0815808235476</v>
      </c>
      <c r="Y115" s="5">
        <v>77.316284596621074</v>
      </c>
      <c r="Z115" s="5">
        <v>746.76529622692647</v>
      </c>
      <c r="AA115" s="8">
        <v>0.17550971627630693</v>
      </c>
      <c r="AB115" s="8">
        <v>1.0323346283819717</v>
      </c>
      <c r="AC115" s="7"/>
    </row>
    <row r="116" spans="1:29">
      <c r="A116" s="7"/>
      <c r="C116" s="1" t="s">
        <v>14</v>
      </c>
      <c r="D116" s="5">
        <v>41.162223506614751</v>
      </c>
      <c r="E116" s="5">
        <v>22.191735679688712</v>
      </c>
      <c r="F116" s="5">
        <v>62.948361517975016</v>
      </c>
      <c r="G116" s="5">
        <v>33.64186787684821</v>
      </c>
      <c r="H116" s="5">
        <v>66.974844143980363</v>
      </c>
      <c r="I116" s="5">
        <v>36.238184159674496</v>
      </c>
      <c r="J116" s="5">
        <v>114.9890993988723</v>
      </c>
      <c r="K116" s="5">
        <v>61.494830353103055</v>
      </c>
      <c r="L116" s="12">
        <v>439.6411466367569</v>
      </c>
      <c r="M116" s="10" t="s">
        <v>39</v>
      </c>
      <c r="N116" s="10">
        <v>1</v>
      </c>
      <c r="O116" s="10">
        <v>2</v>
      </c>
      <c r="P116" s="10" t="s">
        <v>39</v>
      </c>
      <c r="Q116" s="10">
        <v>1</v>
      </c>
      <c r="R116" s="10">
        <v>2</v>
      </c>
      <c r="S116" s="10" t="s">
        <v>11</v>
      </c>
      <c r="T116" s="10" t="s">
        <v>42</v>
      </c>
      <c r="U116" s="10" t="s">
        <v>43</v>
      </c>
      <c r="V116" s="10"/>
      <c r="W116" s="1" t="s">
        <v>14</v>
      </c>
      <c r="X116" s="5">
        <v>439.6411466367569</v>
      </c>
      <c r="Y116" s="5">
        <v>22.191735679688712</v>
      </c>
      <c r="Z116" s="5">
        <v>417.44941095706821</v>
      </c>
      <c r="AA116" s="8">
        <v>1.6565883532643098E-3</v>
      </c>
      <c r="AB116" s="8">
        <v>2.3845755744959996</v>
      </c>
      <c r="AC116" s="7"/>
    </row>
    <row r="117" spans="1:29">
      <c r="A117" s="7"/>
      <c r="C117" s="1" t="s">
        <v>15</v>
      </c>
      <c r="D117" s="5">
        <v>118.53326506475626</v>
      </c>
      <c r="E117" s="5">
        <v>62.948361517975016</v>
      </c>
      <c r="F117" s="5">
        <v>207.30597285690817</v>
      </c>
      <c r="G117" s="5">
        <v>109.98947849416029</v>
      </c>
      <c r="H117" s="5">
        <v>216.48669396126755</v>
      </c>
      <c r="I117" s="5">
        <v>114.98909939887228</v>
      </c>
      <c r="J117" s="5">
        <v>394.15737217506791</v>
      </c>
      <c r="K117" s="5">
        <v>209.13715728933303</v>
      </c>
      <c r="L117" s="12">
        <v>1433.5474007583407</v>
      </c>
      <c r="M117" s="10">
        <v>1</v>
      </c>
      <c r="N117" s="5">
        <v>1223.8502780349854</v>
      </c>
      <c r="O117" s="5">
        <v>2235.6331106428711</v>
      </c>
      <c r="P117" s="10">
        <v>1</v>
      </c>
      <c r="Q117">
        <v>2.7973428353068922E-3</v>
      </c>
      <c r="R117">
        <v>0.59157767668477046</v>
      </c>
      <c r="S117" s="23">
        <v>1.3030684116650002</v>
      </c>
      <c r="T117">
        <v>0.74634649729041957</v>
      </c>
      <c r="U117" s="23">
        <v>0.25365350270958043</v>
      </c>
      <c r="W117" s="1" t="s">
        <v>15</v>
      </c>
      <c r="X117" s="5">
        <v>1433.5474007583407</v>
      </c>
      <c r="Y117" s="5">
        <v>207.30597285690817</v>
      </c>
      <c r="Z117" s="5">
        <v>1226.2414279014324</v>
      </c>
      <c r="AA117" s="8">
        <v>0.65965427304769275</v>
      </c>
      <c r="AB117" s="8">
        <v>0.46032513281569476</v>
      </c>
      <c r="AC117" s="7"/>
    </row>
    <row r="118" spans="1:29">
      <c r="A118" s="7"/>
      <c r="C118" s="1" t="s">
        <v>16</v>
      </c>
      <c r="D118" s="5">
        <v>62.948361517974995</v>
      </c>
      <c r="E118" s="5">
        <v>33.64186787684821</v>
      </c>
      <c r="F118" s="5">
        <v>109.98947849416027</v>
      </c>
      <c r="G118" s="5">
        <v>58.589168945108689</v>
      </c>
      <c r="H118" s="5">
        <v>114.98909939887228</v>
      </c>
      <c r="I118" s="5">
        <v>61.49483035310304</v>
      </c>
      <c r="J118" s="5">
        <v>209.13715728933306</v>
      </c>
      <c r="K118" s="5">
        <v>111.42329658381126</v>
      </c>
      <c r="L118" s="12">
        <v>762.21326045921182</v>
      </c>
      <c r="M118" s="10">
        <v>2</v>
      </c>
      <c r="N118" s="5">
        <v>2235.6331106428711</v>
      </c>
      <c r="O118" s="5">
        <v>4304.8835433241366</v>
      </c>
      <c r="P118" s="10">
        <v>2</v>
      </c>
      <c r="Q118">
        <v>0.70261236146139039</v>
      </c>
      <c r="R118">
        <v>6.0810306835323708E-3</v>
      </c>
      <c r="W118" s="1" t="s">
        <v>16</v>
      </c>
      <c r="X118" s="5">
        <v>762.21326045921182</v>
      </c>
      <c r="Y118" s="5">
        <v>58.589168945108689</v>
      </c>
      <c r="Z118" s="5">
        <v>703.62409151410316</v>
      </c>
      <c r="AA118" s="8">
        <v>0.35946015254937708</v>
      </c>
      <c r="AB118" s="8">
        <v>1.866627288774585E-2</v>
      </c>
      <c r="AC118" s="7"/>
    </row>
    <row r="119" spans="1:29">
      <c r="A119" s="7"/>
      <c r="C119" s="1" t="s">
        <v>17</v>
      </c>
      <c r="D119" s="5">
        <v>125.67080863346017</v>
      </c>
      <c r="E119" s="5">
        <v>66.974844143980363</v>
      </c>
      <c r="F119" s="5">
        <v>216.48669396126752</v>
      </c>
      <c r="G119" s="5">
        <v>114.98909939887228</v>
      </c>
      <c r="H119" s="5">
        <v>233.4683637169685</v>
      </c>
      <c r="I119" s="5">
        <v>124.4669596703162</v>
      </c>
      <c r="J119" s="5">
        <v>416.839601386352</v>
      </c>
      <c r="K119" s="5">
        <v>221.42035708243904</v>
      </c>
      <c r="L119" s="12">
        <v>1520.3167279936563</v>
      </c>
      <c r="M119" s="10" t="s">
        <v>40</v>
      </c>
      <c r="N119" s="10">
        <v>1</v>
      </c>
      <c r="O119" s="10">
        <v>2</v>
      </c>
      <c r="P119" s="10" t="s">
        <v>40</v>
      </c>
      <c r="Q119" s="10">
        <v>1</v>
      </c>
      <c r="R119" s="10">
        <v>2</v>
      </c>
      <c r="S119" s="10" t="s">
        <v>11</v>
      </c>
      <c r="T119" s="10" t="s">
        <v>42</v>
      </c>
      <c r="U119" s="10" t="s">
        <v>43</v>
      </c>
      <c r="W119" s="1" t="s">
        <v>17</v>
      </c>
      <c r="X119" s="5">
        <v>1520.3167279936563</v>
      </c>
      <c r="Y119" s="5">
        <v>233.4683637169685</v>
      </c>
      <c r="Z119" s="5">
        <v>1286.8483642766878</v>
      </c>
      <c r="AA119" s="8">
        <v>0.24296887251347013</v>
      </c>
      <c r="AB119" s="8">
        <v>0.94370753110707395</v>
      </c>
      <c r="AC119" s="7"/>
    </row>
    <row r="120" spans="1:29">
      <c r="A120" s="7"/>
      <c r="C120" s="1" t="s">
        <v>18</v>
      </c>
      <c r="D120" s="5">
        <v>66.974844143980363</v>
      </c>
      <c r="E120" s="5">
        <v>36.238184159674496</v>
      </c>
      <c r="F120" s="5">
        <v>114.98909939887228</v>
      </c>
      <c r="G120" s="5">
        <v>61.494830353103048</v>
      </c>
      <c r="H120" s="5">
        <v>124.46695967031621</v>
      </c>
      <c r="I120" s="5">
        <v>67.425506717754743</v>
      </c>
      <c r="J120" s="5">
        <v>221.4203570824391</v>
      </c>
      <c r="K120" s="5">
        <v>118.43520898938959</v>
      </c>
      <c r="L120" s="12">
        <v>811.44499051552987</v>
      </c>
      <c r="M120" s="10">
        <v>1</v>
      </c>
      <c r="N120" s="5">
        <v>1323.3776192270859</v>
      </c>
      <c r="O120" s="5">
        <v>2272.1068267424043</v>
      </c>
      <c r="P120" s="10">
        <v>1</v>
      </c>
      <c r="Q120">
        <v>1.4340840492264174E-3</v>
      </c>
      <c r="R120">
        <v>3.6840043786443336E-3</v>
      </c>
      <c r="S120" s="23">
        <v>1.4165999080095042E-2</v>
      </c>
      <c r="T120">
        <v>9.4741283681284191E-2</v>
      </c>
      <c r="U120" s="23">
        <v>0.90525871631871579</v>
      </c>
      <c r="W120" s="1" t="s">
        <v>18</v>
      </c>
      <c r="X120" s="5">
        <v>811.44499051552987</v>
      </c>
      <c r="Y120" s="5">
        <v>67.425506717754743</v>
      </c>
      <c r="Z120" s="5">
        <v>744.01948379777514</v>
      </c>
      <c r="AA120" s="8">
        <v>3.6766933116464881E-2</v>
      </c>
      <c r="AB120" s="8">
        <v>0.53657335110309923</v>
      </c>
      <c r="AC120" s="7"/>
    </row>
    <row r="121" spans="1:29">
      <c r="A121" s="7"/>
      <c r="C121" s="1" t="s">
        <v>19</v>
      </c>
      <c r="D121" s="5">
        <v>216.48669396126758</v>
      </c>
      <c r="E121" s="5">
        <v>114.98909939887233</v>
      </c>
      <c r="F121" s="5">
        <v>394.15737217506796</v>
      </c>
      <c r="G121" s="5">
        <v>209.13715728933306</v>
      </c>
      <c r="H121" s="5">
        <v>416.83960138635206</v>
      </c>
      <c r="I121" s="5">
        <v>221.4203570824391</v>
      </c>
      <c r="J121" s="5">
        <v>767.44752498142532</v>
      </c>
      <c r="K121" s="5">
        <v>407.20794057427833</v>
      </c>
      <c r="L121" s="12">
        <v>2747.6857468490357</v>
      </c>
      <c r="M121" s="10">
        <v>2</v>
      </c>
      <c r="N121" s="5">
        <v>2272.1068267424048</v>
      </c>
      <c r="O121" s="5">
        <v>4132.4087699329693</v>
      </c>
      <c r="P121" s="10">
        <v>2</v>
      </c>
      <c r="Q121">
        <v>7.4230778648346121E-3</v>
      </c>
      <c r="R121">
        <v>1.6248327873896798E-3</v>
      </c>
      <c r="W121" s="1" t="s">
        <v>19</v>
      </c>
      <c r="X121" s="5">
        <v>2747.6857468490357</v>
      </c>
      <c r="Y121" s="5">
        <v>767.44752498142532</v>
      </c>
      <c r="Z121" s="5">
        <v>1980.2382218676103</v>
      </c>
      <c r="AA121" s="8">
        <v>0.66273473157105456</v>
      </c>
      <c r="AB121" s="8">
        <v>9.0708907649247085E-3</v>
      </c>
      <c r="AC121" s="7"/>
    </row>
    <row r="122" spans="1:29">
      <c r="A122" s="7"/>
      <c r="C122" s="1" t="s">
        <v>20</v>
      </c>
      <c r="D122" s="5">
        <v>114.9890993988723</v>
      </c>
      <c r="E122" s="5">
        <v>61.494830353103069</v>
      </c>
      <c r="F122" s="5">
        <v>209.13715728933306</v>
      </c>
      <c r="G122" s="5">
        <v>111.42329658381128</v>
      </c>
      <c r="H122" s="5">
        <v>221.4203570824391</v>
      </c>
      <c r="I122" s="5">
        <v>118.43520898938961</v>
      </c>
      <c r="J122" s="5">
        <v>407.20794057427833</v>
      </c>
      <c r="K122" s="5">
        <v>216.96129833755833</v>
      </c>
      <c r="L122" s="12">
        <v>1461.0691886087852</v>
      </c>
      <c r="M122" s="10" t="s">
        <v>41</v>
      </c>
      <c r="N122" s="10">
        <v>1</v>
      </c>
      <c r="O122" s="10">
        <v>2</v>
      </c>
      <c r="P122" s="10" t="s">
        <v>41</v>
      </c>
      <c r="Q122" s="10">
        <v>1</v>
      </c>
      <c r="R122" s="10">
        <v>2</v>
      </c>
      <c r="S122" s="10" t="s">
        <v>11</v>
      </c>
      <c r="T122" s="10" t="s">
        <v>42</v>
      </c>
      <c r="U122" s="10" t="s">
        <v>43</v>
      </c>
      <c r="W122" s="1" t="s">
        <v>20</v>
      </c>
      <c r="X122" s="5">
        <v>1461.0691886087852</v>
      </c>
      <c r="Y122" s="5">
        <v>216.96129833755833</v>
      </c>
      <c r="Z122" s="5">
        <v>1244.107890271227</v>
      </c>
      <c r="AA122" s="8">
        <v>0.37013452864659641</v>
      </c>
      <c r="AB122" s="8">
        <v>1.1672711926995998</v>
      </c>
      <c r="AC122" s="7"/>
    </row>
    <row r="123" spans="1:29">
      <c r="A123" s="7"/>
      <c r="D123" s="12">
        <v>824.0815808235476</v>
      </c>
      <c r="E123" s="12">
        <v>439.64114663675696</v>
      </c>
      <c r="F123" s="12">
        <v>1433.5474007583407</v>
      </c>
      <c r="G123" s="12">
        <v>762.21326045921194</v>
      </c>
      <c r="H123" s="12">
        <v>1520.3167279936563</v>
      </c>
      <c r="I123" s="12">
        <v>811.44499051552987</v>
      </c>
      <c r="J123" s="12">
        <v>2747.6857468490357</v>
      </c>
      <c r="K123" s="12">
        <v>1461.0691886087848</v>
      </c>
      <c r="L123" s="1">
        <v>10000.000042644864</v>
      </c>
      <c r="M123" s="10">
        <v>1</v>
      </c>
      <c r="N123" s="5">
        <v>4261.8870165162662</v>
      </c>
      <c r="O123" s="5">
        <v>2263.7444399083138</v>
      </c>
      <c r="P123" s="10">
        <v>1</v>
      </c>
      <c r="Q123">
        <v>3.9692824028205453E-3</v>
      </c>
      <c r="R123">
        <v>1.3442641934621553E-3</v>
      </c>
      <c r="S123" s="23">
        <v>1.1030491387343959E-2</v>
      </c>
      <c r="T123">
        <v>8.3644938223274845E-2</v>
      </c>
      <c r="U123" s="23">
        <v>0.9163550617767251</v>
      </c>
      <c r="W123" s="1" t="s">
        <v>59</v>
      </c>
      <c r="X123" s="7">
        <v>10000.000042644864</v>
      </c>
      <c r="Y123" s="7">
        <v>1650.7058558320336</v>
      </c>
      <c r="Z123" s="7">
        <v>8349.294186812831</v>
      </c>
      <c r="AA123" s="7">
        <v>2.5088857960742272</v>
      </c>
      <c r="AB123" s="7">
        <v>6.5525245742561085</v>
      </c>
      <c r="AC123" s="11">
        <v>9.0614103703303357</v>
      </c>
    </row>
    <row r="124" spans="1:29">
      <c r="A124" s="7"/>
      <c r="M124" s="10">
        <v>2</v>
      </c>
      <c r="N124" s="5">
        <v>2263.7444399083138</v>
      </c>
      <c r="O124" s="5">
        <v>1210.62414631197</v>
      </c>
      <c r="P124" s="10">
        <v>2</v>
      </c>
      <c r="Q124">
        <v>2.8850854059000848E-5</v>
      </c>
      <c r="R124">
        <v>5.6880939370022561E-3</v>
      </c>
      <c r="AC124" s="7" t="s">
        <v>51</v>
      </c>
    </row>
    <row r="125" spans="1:29">
      <c r="A125" s="7"/>
      <c r="C125" s="1" t="s">
        <v>35</v>
      </c>
      <c r="L125" s="7"/>
      <c r="M125" s="7"/>
      <c r="N125" s="7"/>
      <c r="O125" s="7"/>
      <c r="P125" s="7"/>
      <c r="Q125" s="7"/>
      <c r="R125" s="7"/>
      <c r="S125" s="7"/>
      <c r="T125" s="7"/>
      <c r="U125" s="7"/>
      <c r="V125" s="7"/>
      <c r="W125" s="7"/>
      <c r="X125" s="7"/>
      <c r="Y125" s="7"/>
      <c r="Z125" s="7"/>
      <c r="AA125" s="7"/>
      <c r="AB125" s="7"/>
      <c r="AC125" s="7"/>
    </row>
    <row r="126" spans="1:29">
      <c r="A126" s="7"/>
      <c r="C126" s="1"/>
      <c r="D126" s="1" t="s">
        <v>13</v>
      </c>
      <c r="E126" s="1" t="s">
        <v>14</v>
      </c>
      <c r="F126" s="1" t="s">
        <v>15</v>
      </c>
      <c r="G126" s="1" t="s">
        <v>16</v>
      </c>
      <c r="H126" s="1" t="s">
        <v>17</v>
      </c>
      <c r="I126" s="1" t="s">
        <v>18</v>
      </c>
      <c r="J126" s="1" t="s">
        <v>19</v>
      </c>
      <c r="K126" s="1" t="s">
        <v>20</v>
      </c>
      <c r="AC126" s="7"/>
    </row>
    <row r="127" spans="1:29">
      <c r="A127" s="7"/>
      <c r="C127" s="1" t="s">
        <v>13</v>
      </c>
      <c r="D127" s="8">
        <v>3.7701088562566012</v>
      </c>
      <c r="E127" s="8">
        <v>-8.0571208883781775</v>
      </c>
      <c r="F127" s="8">
        <v>-0.53206371827861221</v>
      </c>
      <c r="G127" s="8">
        <v>5.2491221866488109</v>
      </c>
      <c r="H127" s="8">
        <v>-11.111284716082499</v>
      </c>
      <c r="I127" s="8">
        <v>2.0554697210330244</v>
      </c>
      <c r="J127" s="8">
        <v>1.5185829856667807</v>
      </c>
      <c r="K127" s="8">
        <v>-13.966715004661481</v>
      </c>
      <c r="L127" s="13">
        <v>-21.073900577795555</v>
      </c>
      <c r="AC127" s="7"/>
    </row>
    <row r="128" spans="1:29">
      <c r="A128" s="7"/>
      <c r="C128" s="1" t="s">
        <v>14</v>
      </c>
      <c r="D128" s="8">
        <v>0.84624488431660361</v>
      </c>
      <c r="E128" s="8">
        <v>-0.19090498967731681</v>
      </c>
      <c r="F128" s="8">
        <v>10.814563779290925</v>
      </c>
      <c r="G128" s="8">
        <v>1.3851845859262697</v>
      </c>
      <c r="H128" s="8">
        <v>11.88655559045665</v>
      </c>
      <c r="I128" s="8">
        <v>-4.8399112534162256</v>
      </c>
      <c r="J128" s="8">
        <v>20.5023301647715</v>
      </c>
      <c r="K128" s="8">
        <v>-5.241679589720265</v>
      </c>
      <c r="L128" s="13">
        <v>35.162383171948143</v>
      </c>
      <c r="AC128" s="7"/>
    </row>
    <row r="129" spans="1:29">
      <c r="A129" s="7"/>
      <c r="C129" s="1" t="s">
        <v>15</v>
      </c>
      <c r="D129" s="8">
        <v>-6.3498139860123866</v>
      </c>
      <c r="E129" s="8">
        <v>7.4326357144426174</v>
      </c>
      <c r="F129" s="8">
        <v>12.017821698369213</v>
      </c>
      <c r="G129" s="8">
        <v>-7.6920135837904891</v>
      </c>
      <c r="H129" s="8">
        <v>6.610318904298758</v>
      </c>
      <c r="I129" s="8">
        <v>-0.98483319098400512</v>
      </c>
      <c r="J129" s="8">
        <v>23.492099691983999</v>
      </c>
      <c r="K129" s="8">
        <v>2.8823483907948022</v>
      </c>
      <c r="L129" s="13">
        <v>37.40856363910251</v>
      </c>
      <c r="AC129" s="7"/>
    </row>
    <row r="130" spans="1:29">
      <c r="A130" s="7"/>
      <c r="C130" s="1" t="s">
        <v>16</v>
      </c>
      <c r="D130" s="8">
        <v>2.0847149734190968</v>
      </c>
      <c r="E130" s="8">
        <v>1.3851845859262697</v>
      </c>
      <c r="F130" s="8">
        <v>-14.766453316089185</v>
      </c>
      <c r="G130" s="8">
        <v>-4.4045533429499972</v>
      </c>
      <c r="H130" s="8">
        <v>-0.98483319098400512</v>
      </c>
      <c r="I130" s="8">
        <v>-2.4435244163916261</v>
      </c>
      <c r="J130" s="8">
        <v>-9.8874079274424993</v>
      </c>
      <c r="K130" s="8">
        <v>24.723451418328203</v>
      </c>
      <c r="L130" s="13">
        <v>-4.2934212161837415</v>
      </c>
      <c r="AC130" s="7"/>
    </row>
    <row r="131" spans="1:29">
      <c r="A131" s="7"/>
      <c r="C131" s="1" t="s">
        <v>17</v>
      </c>
      <c r="D131" s="8">
        <v>0.32962214461494038</v>
      </c>
      <c r="E131" s="8">
        <v>-4.7853276049293676</v>
      </c>
      <c r="F131" s="8">
        <v>8.6785461931056407</v>
      </c>
      <c r="G131" s="8">
        <v>11.522015935513268</v>
      </c>
      <c r="H131" s="8">
        <v>7.6518350379181719</v>
      </c>
      <c r="I131" s="8">
        <v>0.53418009903966446</v>
      </c>
      <c r="J131" s="8">
        <v>-31.510635364261578</v>
      </c>
      <c r="K131" s="8">
        <v>-16.716365732834539</v>
      </c>
      <c r="L131" s="13">
        <v>-24.2961292918338</v>
      </c>
      <c r="AC131" s="7"/>
    </row>
    <row r="132" spans="1:29">
      <c r="A132" s="7"/>
      <c r="C132" s="1" t="s">
        <v>18</v>
      </c>
      <c r="D132" s="8">
        <v>2.0554697210330244</v>
      </c>
      <c r="E132" s="8">
        <v>-2.1675968773568304</v>
      </c>
      <c r="F132" s="8">
        <v>-12.226181320544365</v>
      </c>
      <c r="G132" s="8">
        <v>2.5555181682891575</v>
      </c>
      <c r="H132" s="8">
        <v>2.5586423234731379</v>
      </c>
      <c r="I132" s="8">
        <v>1.592735302058909</v>
      </c>
      <c r="J132" s="8">
        <v>19.338230452601771</v>
      </c>
      <c r="K132" s="8">
        <v>9.9410191942615711</v>
      </c>
      <c r="L132" s="13">
        <v>23.647836963816374</v>
      </c>
      <c r="AC132" s="7"/>
    </row>
    <row r="133" spans="1:29">
      <c r="A133" s="7"/>
      <c r="C133" s="1" t="s">
        <v>19</v>
      </c>
      <c r="D133" s="8">
        <v>-21.276159785094162</v>
      </c>
      <c r="E133" s="8">
        <v>10.434550158449341</v>
      </c>
      <c r="F133" s="8">
        <v>-5.1234830937366658</v>
      </c>
      <c r="G133" s="8">
        <v>-1.1340600950114428</v>
      </c>
      <c r="H133" s="8">
        <v>-1.8355361265224899</v>
      </c>
      <c r="I133" s="8">
        <v>7.707920258795701</v>
      </c>
      <c r="J133" s="8">
        <v>22.880643360510916</v>
      </c>
      <c r="K133" s="8">
        <v>8.8862986314290957</v>
      </c>
      <c r="L133" s="13">
        <v>20.540173308820293</v>
      </c>
      <c r="AC133" s="7"/>
    </row>
    <row r="134" spans="1:29">
      <c r="A134" s="7"/>
      <c r="C134" s="1" t="s">
        <v>20</v>
      </c>
      <c r="D134" s="8">
        <v>6.1653383570062177</v>
      </c>
      <c r="E134" s="8">
        <v>2.5555181682891299</v>
      </c>
      <c r="F134" s="8">
        <v>-19.134979284378424</v>
      </c>
      <c r="G134" s="8">
        <v>-12.580157343710859</v>
      </c>
      <c r="H134" s="8">
        <v>-10.171219055464418</v>
      </c>
      <c r="I134" s="8">
        <v>-1.426477650003025</v>
      </c>
      <c r="J134" s="8">
        <v>-1.2061471842112128</v>
      </c>
      <c r="K134" s="8">
        <v>-8.7736291257220387</v>
      </c>
      <c r="L134" s="13">
        <v>-44.571753118194628</v>
      </c>
      <c r="AC134" s="7"/>
    </row>
    <row r="135" spans="1:29">
      <c r="A135" s="7"/>
      <c r="D135" s="13">
        <v>-12.374474834460067</v>
      </c>
      <c r="E135" s="13">
        <v>6.6069382667656651</v>
      </c>
      <c r="F135" s="13">
        <v>-20.272229062261474</v>
      </c>
      <c r="G135" s="13">
        <v>-5.0989434890852818</v>
      </c>
      <c r="H135" s="13">
        <v>4.6044787670933047</v>
      </c>
      <c r="I135" s="13">
        <v>2.1955588701324169</v>
      </c>
      <c r="J135" s="13">
        <v>45.127696179619683</v>
      </c>
      <c r="K135" s="13">
        <v>1.7347281818753508</v>
      </c>
      <c r="L135" s="2">
        <v>45.047505759359197</v>
      </c>
      <c r="M135" t="s">
        <v>53</v>
      </c>
      <c r="AC135" s="7"/>
    </row>
    <row r="136" spans="1:29">
      <c r="A136" s="7"/>
      <c r="AC136" s="7"/>
    </row>
    <row r="137" spans="1:29">
      <c r="A137" s="7"/>
      <c r="AC137" s="7"/>
    </row>
    <row r="138" spans="1:29">
      <c r="A138" s="7"/>
      <c r="C138" t="s">
        <v>52</v>
      </c>
      <c r="AC138" s="7"/>
    </row>
    <row r="139" spans="1:29">
      <c r="A139" s="7"/>
      <c r="C139" s="1"/>
      <c r="D139" s="1" t="s">
        <v>13</v>
      </c>
      <c r="E139" s="1" t="s">
        <v>14</v>
      </c>
      <c r="F139" s="1" t="s">
        <v>15</v>
      </c>
      <c r="G139" s="1" t="s">
        <v>16</v>
      </c>
      <c r="H139" s="1" t="s">
        <v>17</v>
      </c>
      <c r="I139" s="1" t="s">
        <v>18</v>
      </c>
      <c r="J139" s="1" t="s">
        <v>19</v>
      </c>
      <c r="K139" s="1" t="s">
        <v>20</v>
      </c>
      <c r="L139" s="7"/>
      <c r="AC139" s="7"/>
    </row>
    <row r="140" spans="1:29">
      <c r="A140" s="7"/>
      <c r="C140" s="1" t="s">
        <v>13</v>
      </c>
      <c r="D140" s="8">
        <v>0.17550971627630693</v>
      </c>
      <c r="E140" s="8">
        <v>2.0394024528746337</v>
      </c>
      <c r="F140" s="8">
        <v>2.399087118153263E-3</v>
      </c>
      <c r="G140" s="8">
        <v>0.40539659393340483</v>
      </c>
      <c r="H140" s="8">
        <v>1.0838457684801015</v>
      </c>
      <c r="I140" s="8">
        <v>6.1235771334590655E-2</v>
      </c>
      <c r="J140" s="8">
        <v>1.057845692481104E-2</v>
      </c>
      <c r="K140" s="8">
        <v>1.9538643398704387</v>
      </c>
      <c r="L140" s="14">
        <v>5.7322321868124408</v>
      </c>
      <c r="AC140" s="7"/>
    </row>
    <row r="141" spans="1:29">
      <c r="A141" s="7"/>
      <c r="C141" s="1" t="s">
        <v>14</v>
      </c>
      <c r="D141" s="8">
        <v>1.7051300757746822E-2</v>
      </c>
      <c r="E141" s="8">
        <v>1.6565883532643098E-3</v>
      </c>
      <c r="F141" s="8">
        <v>1.6050526770974758</v>
      </c>
      <c r="G141" s="8">
        <v>5.4828194162374708E-2</v>
      </c>
      <c r="H141" s="8">
        <v>1.8149211573857655</v>
      </c>
      <c r="I141" s="8">
        <v>0.75717296346206531</v>
      </c>
      <c r="J141" s="8">
        <v>3.1430313269285595</v>
      </c>
      <c r="K141" s="8">
        <v>0.4909869729864062</v>
      </c>
      <c r="L141" s="14">
        <v>7.884701181133658</v>
      </c>
      <c r="AC141" s="7"/>
    </row>
    <row r="142" spans="1:29">
      <c r="A142" s="7"/>
      <c r="C142" s="1" t="s">
        <v>15</v>
      </c>
      <c r="D142" s="8">
        <v>0.36009766864218323</v>
      </c>
      <c r="E142" s="8">
        <v>0.78994280521465809</v>
      </c>
      <c r="F142" s="8">
        <v>0.65965427304769275</v>
      </c>
      <c r="G142" s="8">
        <v>0.58034429731420989</v>
      </c>
      <c r="H142" s="8">
        <v>0.19596195395629587</v>
      </c>
      <c r="I142" s="8">
        <v>8.5079161934814504E-3</v>
      </c>
      <c r="J142" s="8">
        <v>1.3238002959807817</v>
      </c>
      <c r="K142" s="8">
        <v>3.9188963320756665E-2</v>
      </c>
      <c r="L142" s="14">
        <v>3.9574981736700598</v>
      </c>
      <c r="AC142" s="7"/>
    </row>
    <row r="143" spans="1:29">
      <c r="A143" s="7"/>
      <c r="C143" s="1" t="s">
        <v>16</v>
      </c>
      <c r="D143" s="8">
        <v>6.6867831972463959E-2</v>
      </c>
      <c r="E143" s="8">
        <v>5.4828194162374708E-2</v>
      </c>
      <c r="F143" s="8">
        <v>2.3244352643129202</v>
      </c>
      <c r="G143" s="8">
        <v>0.35946015254937708</v>
      </c>
      <c r="H143" s="8">
        <v>8.5079161934814504E-3</v>
      </c>
      <c r="I143" s="8">
        <v>0.10121466235494979</v>
      </c>
      <c r="J143" s="8">
        <v>0.49136155067131981</v>
      </c>
      <c r="K143" s="8">
        <v>4.5745149602457884</v>
      </c>
      <c r="L143" s="14">
        <v>7.9811905324626755</v>
      </c>
      <c r="AC143" s="7"/>
    </row>
    <row r="144" spans="1:29">
      <c r="A144" s="7"/>
      <c r="C144" s="1" t="s">
        <v>17</v>
      </c>
      <c r="D144" s="8">
        <v>8.6230809670710185E-4</v>
      </c>
      <c r="E144" s="8">
        <v>0.36952791116155415</v>
      </c>
      <c r="F144" s="8">
        <v>0.33478445433734577</v>
      </c>
      <c r="G144" s="8">
        <v>1.0543602192009489</v>
      </c>
      <c r="H144" s="8">
        <v>0.24296887251347013</v>
      </c>
      <c r="I144" s="8">
        <v>2.2827904997600426E-3</v>
      </c>
      <c r="J144" s="8">
        <v>2.5871808139815626</v>
      </c>
      <c r="K144" s="8">
        <v>1.3705552862363815</v>
      </c>
      <c r="L144" s="14">
        <v>5.9625226560277298</v>
      </c>
      <c r="AC144" s="7"/>
    </row>
    <row r="145" spans="1:29">
      <c r="A145" s="7"/>
      <c r="C145" s="1" t="s">
        <v>18</v>
      </c>
      <c r="D145" s="8">
        <v>6.1235771334590655E-2</v>
      </c>
      <c r="E145" s="8">
        <v>0.13823728889242523</v>
      </c>
      <c r="F145" s="8">
        <v>1.4672408434867605</v>
      </c>
      <c r="G145" s="8">
        <v>0.10205532601192255</v>
      </c>
      <c r="H145" s="8">
        <v>5.1550173064400365E-2</v>
      </c>
      <c r="I145" s="8">
        <v>3.6766933116464881E-2</v>
      </c>
      <c r="J145" s="8">
        <v>1.5590397174526516</v>
      </c>
      <c r="K145" s="8">
        <v>0.77244957692310612</v>
      </c>
      <c r="L145" s="14">
        <v>4.1885756302823225</v>
      </c>
      <c r="AC145" s="7"/>
    </row>
    <row r="146" spans="1:29">
      <c r="A146" s="7"/>
      <c r="C146" s="1" t="s">
        <v>19</v>
      </c>
      <c r="D146" s="8">
        <v>2.3357158634339701</v>
      </c>
      <c r="E146" s="8">
        <v>0.87154461918188764</v>
      </c>
      <c r="F146" s="8">
        <v>6.7481898423940492E-2</v>
      </c>
      <c r="G146" s="8">
        <v>6.1831513703436477E-3</v>
      </c>
      <c r="H146" s="8">
        <v>8.1185502754854491E-3</v>
      </c>
      <c r="I146" s="8">
        <v>0.25946569463954505</v>
      </c>
      <c r="J146" s="8">
        <v>0.66273473157105456</v>
      </c>
      <c r="K146" s="8">
        <v>0.18983006283326906</v>
      </c>
      <c r="L146" s="14">
        <v>4.4010745717294961</v>
      </c>
      <c r="AC146" s="7"/>
    </row>
    <row r="147" spans="1:29">
      <c r="A147" s="7"/>
      <c r="C147" s="1" t="s">
        <v>20</v>
      </c>
      <c r="D147" s="8">
        <v>0.31421174898767584</v>
      </c>
      <c r="E147" s="8">
        <v>0.10205532601192077</v>
      </c>
      <c r="F147" s="8">
        <v>1.9389433659287012</v>
      </c>
      <c r="G147" s="8">
        <v>1.6171204469922196</v>
      </c>
      <c r="H147" s="8">
        <v>0.49039683232518122</v>
      </c>
      <c r="I147" s="8">
        <v>1.7391997369711865E-2</v>
      </c>
      <c r="J147" s="8">
        <v>3.5832317732558887E-3</v>
      </c>
      <c r="K147" s="8">
        <v>0.37013452864659641</v>
      </c>
      <c r="L147" s="14">
        <v>4.8538374780352624</v>
      </c>
      <c r="N147">
        <v>0.22408496064807723</v>
      </c>
      <c r="AC147" s="7"/>
    </row>
    <row r="148" spans="1:29">
      <c r="A148" s="7"/>
      <c r="B148" s="7"/>
      <c r="C148" s="7"/>
      <c r="D148" s="14">
        <v>3.3315522095016443</v>
      </c>
      <c r="E148" s="14">
        <v>4.3671951858527187</v>
      </c>
      <c r="F148" s="14">
        <v>8.3999918637529909</v>
      </c>
      <c r="G148" s="14">
        <v>4.1797483815348011</v>
      </c>
      <c r="H148" s="14">
        <v>3.896271224194181</v>
      </c>
      <c r="I148" s="14">
        <v>1.244038728970569</v>
      </c>
      <c r="J148" s="14">
        <v>9.7813101252839978</v>
      </c>
      <c r="K148" s="14">
        <v>9.7615246910627445</v>
      </c>
      <c r="L148" s="15">
        <v>44.961632410153641</v>
      </c>
      <c r="M148" t="s">
        <v>11</v>
      </c>
      <c r="N148" s="7">
        <v>0.77591503935192274</v>
      </c>
      <c r="O148" s="7" t="s">
        <v>61</v>
      </c>
      <c r="P148" s="7"/>
      <c r="Q148" s="7"/>
      <c r="R148" s="7"/>
      <c r="S148" s="7"/>
      <c r="T148" s="7"/>
      <c r="U148" s="7"/>
      <c r="V148" s="7"/>
      <c r="W148" s="7"/>
      <c r="X148" s="7"/>
      <c r="Y148" s="7"/>
      <c r="Z148" s="7"/>
      <c r="AA148" s="7"/>
      <c r="AB148" s="7"/>
      <c r="AC148" s="7"/>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48"/>
  <sheetViews>
    <sheetView tabSelected="1" zoomScale="120" zoomScaleNormal="120" zoomScalePageLayoutView="120" workbookViewId="0">
      <selection activeCell="B3" sqref="B3"/>
    </sheetView>
  </sheetViews>
  <sheetFormatPr baseColWidth="10" defaultColWidth="8.83203125" defaultRowHeight="14" x14ac:dyDescent="0"/>
  <cols>
    <col min="1" max="1" width="7" customWidth="1"/>
    <col min="2" max="3" width="9.1640625" customWidth="1"/>
    <col min="4" max="4" width="7" customWidth="1"/>
    <col min="5" max="5" width="7.5" customWidth="1"/>
    <col min="6" max="7" width="7.1640625" customWidth="1"/>
    <col min="8" max="8" width="7.6640625" customWidth="1"/>
    <col min="9" max="9" width="6.6640625" customWidth="1"/>
    <col min="10" max="10" width="7" customWidth="1"/>
    <col min="11" max="11" width="8.6640625" customWidth="1"/>
    <col min="12" max="14" width="6.5" customWidth="1"/>
    <col min="15" max="15" width="5.83203125" customWidth="1"/>
    <col min="16" max="16" width="7" customWidth="1"/>
    <col min="17" max="19" width="6.5" customWidth="1"/>
    <col min="20" max="20" width="7" customWidth="1"/>
    <col min="21" max="21" width="7.1640625" customWidth="1"/>
    <col min="22" max="22" width="6.83203125" customWidth="1"/>
    <col min="23" max="23" width="9.1640625" customWidth="1"/>
    <col min="24" max="24" width="6.6640625" customWidth="1"/>
    <col min="25" max="25" width="6.33203125" customWidth="1"/>
    <col min="26" max="26" width="6.83203125" customWidth="1"/>
    <col min="27" max="27" width="6.5" customWidth="1"/>
    <col min="28" max="28" width="7.33203125" customWidth="1"/>
    <col min="29" max="29" width="6.83203125" customWidth="1"/>
    <col min="31" max="31" width="5.83203125" customWidth="1"/>
  </cols>
  <sheetData>
    <row r="1" spans="1:31">
      <c r="A1" s="16" t="s">
        <v>0</v>
      </c>
      <c r="B1" s="16" t="s">
        <v>1</v>
      </c>
      <c r="C1" s="16" t="s">
        <v>2</v>
      </c>
      <c r="D1" s="16" t="s">
        <v>3</v>
      </c>
      <c r="E1" s="16" t="s">
        <v>4</v>
      </c>
      <c r="F1" s="16" t="s">
        <v>5</v>
      </c>
      <c r="G1" s="16" t="s">
        <v>6</v>
      </c>
      <c r="H1" s="25" t="s">
        <v>7</v>
      </c>
      <c r="I1" s="25" t="s">
        <v>8</v>
      </c>
      <c r="J1" s="25" t="s">
        <v>9</v>
      </c>
      <c r="K1" s="16" t="s">
        <v>10</v>
      </c>
      <c r="L1" s="7"/>
      <c r="M1" s="7"/>
      <c r="N1" s="7"/>
      <c r="O1" s="7"/>
      <c r="P1" s="7"/>
      <c r="Q1" s="7"/>
      <c r="R1" s="7"/>
      <c r="S1" s="7"/>
      <c r="T1" s="7"/>
      <c r="U1" s="7"/>
      <c r="V1" s="7"/>
      <c r="W1" s="7"/>
      <c r="X1" s="7"/>
      <c r="Y1" s="7"/>
      <c r="Z1" s="7"/>
      <c r="AA1" s="7"/>
      <c r="AB1" s="7"/>
      <c r="AC1" s="7"/>
      <c r="AD1" s="6"/>
      <c r="AE1" s="6"/>
    </row>
    <row r="2" spans="1:31">
      <c r="A2" s="18">
        <v>9.6922111463081051E-2</v>
      </c>
      <c r="B2" s="18">
        <v>9.9268650498424427E-2</v>
      </c>
      <c r="C2" s="18">
        <v>0.10207852207607122</v>
      </c>
      <c r="D2" s="18">
        <v>0.32328941242984355</v>
      </c>
      <c r="E2" s="18">
        <v>0</v>
      </c>
      <c r="F2" s="18">
        <v>0</v>
      </c>
      <c r="G2" s="18">
        <v>1.2106040393506704E-3</v>
      </c>
      <c r="H2" s="18">
        <v>1.9932447675401923E-3</v>
      </c>
      <c r="I2" s="18">
        <v>1.389653615438488E-3</v>
      </c>
      <c r="J2" s="18">
        <v>0.34086524115013195</v>
      </c>
      <c r="K2" s="18">
        <v>0.33125184399769481</v>
      </c>
      <c r="L2" s="1">
        <f>SUM(D2:K2)+p_MR+p_R</f>
        <v>0.99999999999999967</v>
      </c>
      <c r="N2" t="s">
        <v>36</v>
      </c>
      <c r="O2" s="4">
        <f>(L8+L9+L10+L11)/$L$12</f>
        <v>0.6462</v>
      </c>
      <c r="P2" s="4">
        <f>(H12+I12+J12+K12)/L12</f>
        <v>0.64149999999999996</v>
      </c>
      <c r="S2" s="4">
        <f>AVERAGE(O2:P2)</f>
        <v>0.64385000000000003</v>
      </c>
      <c r="Y2" t="s">
        <v>85</v>
      </c>
      <c r="AC2" s="7"/>
      <c r="AD2" s="6"/>
      <c r="AE2" s="6"/>
    </row>
    <row r="3" spans="1:31">
      <c r="A3" t="s">
        <v>95</v>
      </c>
      <c r="B3" s="20">
        <f>$L$135</f>
        <v>60.658505317399488</v>
      </c>
      <c r="C3" s="17" t="s">
        <v>12</v>
      </c>
      <c r="D3" s="1" t="s">
        <v>13</v>
      </c>
      <c r="E3" s="1" t="s">
        <v>14</v>
      </c>
      <c r="F3" s="1" t="s">
        <v>15</v>
      </c>
      <c r="G3" s="1" t="s">
        <v>16</v>
      </c>
      <c r="H3" s="1" t="s">
        <v>17</v>
      </c>
      <c r="I3" s="1" t="s">
        <v>18</v>
      </c>
      <c r="J3" s="1" t="s">
        <v>19</v>
      </c>
      <c r="K3" s="1" t="s">
        <v>20</v>
      </c>
      <c r="L3" s="1"/>
      <c r="N3" t="s">
        <v>37</v>
      </c>
      <c r="O3" s="4">
        <f>(L6+L7+L10+L11)/$L$12</f>
        <v>0.6351</v>
      </c>
      <c r="P3" s="4">
        <f>(F12+G12+J12+K12)/L12</f>
        <v>0.64119999999999999</v>
      </c>
      <c r="Q3" t="s">
        <v>55</v>
      </c>
      <c r="S3" s="4">
        <f t="shared" ref="S3:S4" si="0">AVERAGE(O3:P3)</f>
        <v>0.63815</v>
      </c>
      <c r="Y3" s="1" t="s">
        <v>12</v>
      </c>
      <c r="Z3" t="s">
        <v>47</v>
      </c>
      <c r="AA3" t="s">
        <v>48</v>
      </c>
      <c r="AB3" t="s">
        <v>49</v>
      </c>
      <c r="AC3" s="7"/>
      <c r="AD3" s="6"/>
      <c r="AE3" s="6"/>
    </row>
    <row r="4" spans="1:31">
      <c r="A4" t="s">
        <v>21</v>
      </c>
      <c r="B4">
        <f>CHIDIST(B3,53)</f>
        <v>0.21921610147438692</v>
      </c>
      <c r="C4" s="1" t="s">
        <v>13</v>
      </c>
      <c r="D4" s="24">
        <v>1706</v>
      </c>
      <c r="E4" s="24">
        <v>226</v>
      </c>
      <c r="F4" s="24">
        <v>198</v>
      </c>
      <c r="G4" s="24">
        <v>24</v>
      </c>
      <c r="H4" s="24">
        <v>200</v>
      </c>
      <c r="I4" s="24">
        <v>19</v>
      </c>
      <c r="J4" s="24">
        <v>37</v>
      </c>
      <c r="K4" s="24">
        <v>8</v>
      </c>
      <c r="L4" s="1">
        <f>SUM(D4:K4)</f>
        <v>2418</v>
      </c>
      <c r="N4" t="s">
        <v>38</v>
      </c>
      <c r="O4" s="4">
        <f>(L5+L7+L9+L11)/$L$12</f>
        <v>0.36499999999999999</v>
      </c>
      <c r="P4" s="4">
        <f>(E12+G12+I12+K12)/L12</f>
        <v>0.37159999999999999</v>
      </c>
      <c r="Q4" t="s">
        <v>56</v>
      </c>
      <c r="S4" s="4">
        <f t="shared" si="0"/>
        <v>0.36829999999999996</v>
      </c>
      <c r="T4" t="s">
        <v>44</v>
      </c>
      <c r="V4" t="s">
        <v>57</v>
      </c>
      <c r="Y4" s="1" t="s">
        <v>13</v>
      </c>
      <c r="Z4">
        <f>L4</f>
        <v>2418</v>
      </c>
      <c r="AA4">
        <f>D4</f>
        <v>1706</v>
      </c>
      <c r="AB4">
        <f>Z4-AA4</f>
        <v>712</v>
      </c>
      <c r="AC4" s="7"/>
      <c r="AD4" s="6"/>
      <c r="AE4" s="6"/>
    </row>
    <row r="5" spans="1:31">
      <c r="C5" s="1" t="s">
        <v>14</v>
      </c>
      <c r="D5" s="24">
        <v>177</v>
      </c>
      <c r="E5" s="24">
        <v>19</v>
      </c>
      <c r="F5" s="24">
        <v>31</v>
      </c>
      <c r="G5" s="24">
        <v>9</v>
      </c>
      <c r="H5" s="24">
        <v>25</v>
      </c>
      <c r="I5" s="24">
        <v>5</v>
      </c>
      <c r="J5" s="24">
        <v>9</v>
      </c>
      <c r="K5" s="24">
        <v>15</v>
      </c>
      <c r="L5" s="1">
        <f t="shared" ref="L5:L12" si="1">SUM(D5:K5)</f>
        <v>290</v>
      </c>
      <c r="M5" s="10" t="s">
        <v>39</v>
      </c>
      <c r="N5" s="10">
        <v>1</v>
      </c>
      <c r="O5" s="10">
        <v>2</v>
      </c>
      <c r="P5" s="10" t="s">
        <v>39</v>
      </c>
      <c r="Q5" s="10">
        <v>1</v>
      </c>
      <c r="R5" s="10">
        <v>2</v>
      </c>
      <c r="S5" s="10" t="s">
        <v>39</v>
      </c>
      <c r="T5" s="10">
        <v>1</v>
      </c>
      <c r="U5" s="10">
        <v>2</v>
      </c>
      <c r="V5" s="10" t="s">
        <v>11</v>
      </c>
      <c r="W5" t="s">
        <v>42</v>
      </c>
      <c r="X5" t="s">
        <v>43</v>
      </c>
      <c r="Y5" s="1" t="s">
        <v>14</v>
      </c>
      <c r="Z5">
        <f t="shared" ref="Z5:Z11" si="2">L5</f>
        <v>290</v>
      </c>
      <c r="AA5">
        <f>E5</f>
        <v>19</v>
      </c>
      <c r="AB5">
        <f t="shared" ref="AB5:AB11" si="3">Z5-AA5</f>
        <v>271</v>
      </c>
      <c r="AC5" s="7"/>
      <c r="AD5" s="6"/>
      <c r="AE5" s="6"/>
    </row>
    <row r="6" spans="1:31">
      <c r="A6" t="s">
        <v>22</v>
      </c>
      <c r="B6" s="19">
        <f>e1_</f>
        <v>9.6922111463081051E-2</v>
      </c>
      <c r="C6" s="1" t="s">
        <v>15</v>
      </c>
      <c r="D6" s="24">
        <v>169</v>
      </c>
      <c r="E6" s="24">
        <v>23</v>
      </c>
      <c r="F6" s="24">
        <v>39</v>
      </c>
      <c r="G6" s="24">
        <v>8</v>
      </c>
      <c r="H6" s="24">
        <v>41</v>
      </c>
      <c r="I6" s="24">
        <v>11</v>
      </c>
      <c r="J6" s="24">
        <v>206</v>
      </c>
      <c r="K6" s="24">
        <v>36</v>
      </c>
      <c r="L6" s="1">
        <f t="shared" si="1"/>
        <v>533</v>
      </c>
      <c r="M6" s="10">
        <v>1</v>
      </c>
      <c r="N6">
        <f>D4+E4+F4+G4+D5+E5+F5+G5+D6+E6+F6+G6+D7+E7+F7+G7</f>
        <v>2685</v>
      </c>
      <c r="O6">
        <f>H4+I4+J4+K4+H5+I5+J5+K5+H6+I6+J6+K6+H7+I7+J7+K7</f>
        <v>853</v>
      </c>
      <c r="P6" s="10">
        <v>1</v>
      </c>
      <c r="Q6">
        <f>(N6+O6)*(N6+N7)/$L$12</f>
        <v>1268.373</v>
      </c>
      <c r="R6">
        <f>(N6+O6)*(O6+O7)/$L$12</f>
        <v>2269.627</v>
      </c>
      <c r="S6" s="10">
        <v>1</v>
      </c>
      <c r="T6">
        <f>POWER(N6-Q6,2)/Q6</f>
        <v>1582.2096947262357</v>
      </c>
      <c r="U6">
        <f>POWER(O6-R6,2)/R6</f>
        <v>884.21227678777166</v>
      </c>
      <c r="V6" s="23">
        <f>T6+U6+T7+U7</f>
        <v>3816.8089933673905</v>
      </c>
      <c r="W6">
        <f>_xlfn.CHISQ.DIST(V6,1,TRUE)</f>
        <v>1</v>
      </c>
      <c r="X6" s="23">
        <f>1-W6</f>
        <v>0</v>
      </c>
      <c r="Y6" s="1" t="s">
        <v>15</v>
      </c>
      <c r="Z6">
        <f t="shared" si="2"/>
        <v>533</v>
      </c>
      <c r="AA6">
        <f>F6</f>
        <v>39</v>
      </c>
      <c r="AB6">
        <f t="shared" si="3"/>
        <v>494</v>
      </c>
      <c r="AC6" s="7"/>
      <c r="AD6" s="6"/>
      <c r="AE6" s="6"/>
    </row>
    <row r="7" spans="1:31">
      <c r="A7" t="s">
        <v>23</v>
      </c>
      <c r="B7" s="19">
        <f>e2_</f>
        <v>9.9268650498424427E-2</v>
      </c>
      <c r="C7" s="1" t="s">
        <v>16</v>
      </c>
      <c r="D7" s="24">
        <v>18</v>
      </c>
      <c r="E7" s="24">
        <v>2</v>
      </c>
      <c r="F7" s="24">
        <v>9</v>
      </c>
      <c r="G7" s="24">
        <v>27</v>
      </c>
      <c r="H7" s="24">
        <v>6</v>
      </c>
      <c r="I7" s="24">
        <v>22</v>
      </c>
      <c r="J7" s="24">
        <v>38</v>
      </c>
      <c r="K7" s="24">
        <v>175</v>
      </c>
      <c r="L7" s="1">
        <f t="shared" si="1"/>
        <v>297</v>
      </c>
      <c r="M7" s="10">
        <v>2</v>
      </c>
      <c r="N7">
        <f>D8+E8+F8+G8+D9+E9+F9+G9+D10+E10+F10+G10+D11+E11+F11+G11</f>
        <v>900</v>
      </c>
      <c r="O7">
        <f>H8+I8+J8+K8+H9+I9+J9+K9+H10+I10+J10+K10+H11+I11+J11+K11</f>
        <v>5562</v>
      </c>
      <c r="P7" s="10">
        <v>2</v>
      </c>
      <c r="Q7">
        <f>(N6+N7)*(N7+O7)/$L$12</f>
        <v>2316.627</v>
      </c>
      <c r="R7">
        <f>(N7+O7)*(O6+O7)/$L$12</f>
        <v>4145.3729999999996</v>
      </c>
      <c r="S7" s="10">
        <v>2</v>
      </c>
      <c r="T7">
        <f>POWER(N7-Q7,2)/Q7</f>
        <v>866.27327451894496</v>
      </c>
      <c r="U7">
        <f>POWER(O7-R7,2)/R7</f>
        <v>484.11374733443802</v>
      </c>
      <c r="Y7" s="1" t="s">
        <v>16</v>
      </c>
      <c r="Z7">
        <f t="shared" si="2"/>
        <v>297</v>
      </c>
      <c r="AA7">
        <f>G7</f>
        <v>27</v>
      </c>
      <c r="AB7">
        <f t="shared" si="3"/>
        <v>270</v>
      </c>
      <c r="AC7" s="7"/>
      <c r="AD7" s="6"/>
      <c r="AE7" s="6"/>
    </row>
    <row r="8" spans="1:31">
      <c r="A8" t="s">
        <v>24</v>
      </c>
      <c r="B8" s="19">
        <f>e3_</f>
        <v>0.10207852207607122</v>
      </c>
      <c r="C8" s="1" t="s">
        <v>17</v>
      </c>
      <c r="D8" s="24">
        <v>203</v>
      </c>
      <c r="E8" s="24">
        <v>16</v>
      </c>
      <c r="F8" s="24">
        <v>40</v>
      </c>
      <c r="G8" s="24">
        <v>7</v>
      </c>
      <c r="H8" s="24">
        <v>53</v>
      </c>
      <c r="I8" s="24">
        <v>10</v>
      </c>
      <c r="J8" s="24">
        <v>202</v>
      </c>
      <c r="K8" s="24">
        <v>45</v>
      </c>
      <c r="L8" s="1">
        <f t="shared" si="1"/>
        <v>576</v>
      </c>
      <c r="M8" s="10" t="s">
        <v>40</v>
      </c>
      <c r="N8">
        <v>1</v>
      </c>
      <c r="O8">
        <v>2</v>
      </c>
      <c r="P8" s="10" t="s">
        <v>40</v>
      </c>
      <c r="S8" s="10" t="s">
        <v>40</v>
      </c>
      <c r="Y8" s="1" t="s">
        <v>17</v>
      </c>
      <c r="Z8">
        <f t="shared" si="2"/>
        <v>576</v>
      </c>
      <c r="AA8">
        <f>H8</f>
        <v>53</v>
      </c>
      <c r="AB8">
        <f t="shared" si="3"/>
        <v>523</v>
      </c>
      <c r="AC8" s="7"/>
      <c r="AD8" s="6"/>
      <c r="AE8" s="6"/>
    </row>
    <row r="9" spans="1:31">
      <c r="C9" s="1" t="s">
        <v>18</v>
      </c>
      <c r="D9" s="24">
        <v>19</v>
      </c>
      <c r="E9" s="24">
        <v>9</v>
      </c>
      <c r="F9" s="24">
        <v>6</v>
      </c>
      <c r="G9" s="24">
        <v>20</v>
      </c>
      <c r="H9" s="24">
        <v>8</v>
      </c>
      <c r="I9" s="24">
        <v>28</v>
      </c>
      <c r="J9" s="24">
        <v>59</v>
      </c>
      <c r="K9" s="24">
        <v>216</v>
      </c>
      <c r="L9" s="1">
        <f t="shared" si="1"/>
        <v>365</v>
      </c>
      <c r="M9" s="10">
        <v>1</v>
      </c>
      <c r="N9">
        <f>D4+E4+H4+I4+D5+E5+H5+I5+D8+E8+H8+I8+D9+E9+H9+I9</f>
        <v>2723</v>
      </c>
      <c r="O9">
        <f>F4+G4+J4+K4+F5+G5+J5+K5+F8+G8+J8+K8+F9+G9+J9+K9</f>
        <v>926</v>
      </c>
      <c r="P9" s="10">
        <v>1</v>
      </c>
      <c r="Q9">
        <f>(N9+O9)*(N9+N10)/$L$12</f>
        <v>1309.2611999999999</v>
      </c>
      <c r="R9">
        <f>(N9+O9)*(O9+O10)/$L$12</f>
        <v>2339.7388000000001</v>
      </c>
      <c r="S9" s="10">
        <v>1</v>
      </c>
      <c r="T9">
        <f>POWER(N9-Q9,2)/Q9</f>
        <v>1526.5535972695443</v>
      </c>
      <c r="U9">
        <f>POWER(O9-R9,2)/R9</f>
        <v>854.22244338788596</v>
      </c>
      <c r="V9" s="23">
        <f>T9+U9+T10+U10</f>
        <v>3748.6632666626201</v>
      </c>
      <c r="W9">
        <f>_xlfn.CHISQ.DIST(V9,1,TRUE)</f>
        <v>1</v>
      </c>
      <c r="X9" s="23">
        <f>1-W9</f>
        <v>0</v>
      </c>
      <c r="Y9" s="1" t="s">
        <v>18</v>
      </c>
      <c r="Z9">
        <f t="shared" si="2"/>
        <v>365</v>
      </c>
      <c r="AA9">
        <f>I9</f>
        <v>28</v>
      </c>
      <c r="AB9">
        <f t="shared" si="3"/>
        <v>337</v>
      </c>
      <c r="AC9" s="7"/>
      <c r="AD9" s="6"/>
      <c r="AE9" s="6"/>
    </row>
    <row r="10" spans="1:31">
      <c r="A10" s="7"/>
      <c r="C10" s="1" t="s">
        <v>19</v>
      </c>
      <c r="D10" s="24">
        <v>57</v>
      </c>
      <c r="E10" s="24">
        <v>8</v>
      </c>
      <c r="F10" s="24">
        <v>192</v>
      </c>
      <c r="G10" s="24">
        <v>37</v>
      </c>
      <c r="H10" s="24">
        <v>190</v>
      </c>
      <c r="I10" s="24">
        <v>41</v>
      </c>
      <c r="J10" s="24">
        <v>1865</v>
      </c>
      <c r="K10" s="24">
        <v>433</v>
      </c>
      <c r="L10" s="1">
        <f t="shared" si="1"/>
        <v>2823</v>
      </c>
      <c r="M10" s="10">
        <v>2</v>
      </c>
      <c r="N10">
        <f>D6+E6+H6+I6+D7+E7+H7+I7+D10+E10+H10+I10+D11+E11+H11+I11</f>
        <v>865</v>
      </c>
      <c r="O10">
        <f>F6+G6+J6+K6+F7+G7+J7+K7+F10+G10+J10+K10+F11+G11+J11+K11</f>
        <v>5486</v>
      </c>
      <c r="P10" s="10">
        <v>2</v>
      </c>
      <c r="Q10">
        <f>(N9+N10)*(N10+O10)/$L$12</f>
        <v>2278.7388000000001</v>
      </c>
      <c r="R10">
        <f>(N10+O10)*(O9+O10)/$L$12</f>
        <v>4072.2611999999999</v>
      </c>
      <c r="S10" s="10">
        <v>2</v>
      </c>
      <c r="T10">
        <f>POWER(N10-Q10,2)/Q10</f>
        <v>877.08928931452795</v>
      </c>
      <c r="U10">
        <f>POWER(O10-R10,2)/R10</f>
        <v>490.79793669066225</v>
      </c>
      <c r="Y10" s="1" t="s">
        <v>19</v>
      </c>
      <c r="Z10">
        <f t="shared" si="2"/>
        <v>2823</v>
      </c>
      <c r="AA10">
        <f>J10</f>
        <v>1865</v>
      </c>
      <c r="AB10">
        <f t="shared" si="3"/>
        <v>958</v>
      </c>
      <c r="AC10" s="7"/>
      <c r="AD10" s="6"/>
      <c r="AE10" s="6"/>
    </row>
    <row r="11" spans="1:31">
      <c r="A11" s="7">
        <v>0</v>
      </c>
      <c r="B11" s="6">
        <v>0</v>
      </c>
      <c r="C11" s="1" t="s">
        <v>20</v>
      </c>
      <c r="D11" s="24">
        <v>12</v>
      </c>
      <c r="E11" s="24">
        <v>17</v>
      </c>
      <c r="F11" s="24">
        <v>47</v>
      </c>
      <c r="G11" s="24">
        <v>210</v>
      </c>
      <c r="H11" s="24">
        <v>49</v>
      </c>
      <c r="I11" s="24">
        <v>199</v>
      </c>
      <c r="J11" s="24">
        <v>373</v>
      </c>
      <c r="K11" s="24">
        <v>1791</v>
      </c>
      <c r="L11" s="1">
        <f t="shared" si="1"/>
        <v>2698</v>
      </c>
      <c r="M11" s="10" t="s">
        <v>41</v>
      </c>
      <c r="N11">
        <v>1</v>
      </c>
      <c r="O11">
        <v>2</v>
      </c>
      <c r="P11" s="10" t="s">
        <v>41</v>
      </c>
      <c r="S11" s="10" t="s">
        <v>41</v>
      </c>
      <c r="Y11" s="1" t="s">
        <v>20</v>
      </c>
      <c r="Z11">
        <f t="shared" si="2"/>
        <v>2698</v>
      </c>
      <c r="AA11">
        <f>K11</f>
        <v>1791</v>
      </c>
      <c r="AB11">
        <f t="shared" si="3"/>
        <v>907</v>
      </c>
      <c r="AC11" s="7"/>
      <c r="AD11" s="6"/>
      <c r="AE11" s="6"/>
    </row>
    <row r="12" spans="1:31">
      <c r="A12" s="7"/>
      <c r="B12" s="6"/>
      <c r="C12" s="1"/>
      <c r="D12" s="1">
        <f>SUM(D4:D11)</f>
        <v>2361</v>
      </c>
      <c r="E12" s="1">
        <f t="shared" ref="E12:K12" si="4">SUM(E4:E11)</f>
        <v>320</v>
      </c>
      <c r="F12" s="1">
        <f t="shared" si="4"/>
        <v>562</v>
      </c>
      <c r="G12" s="1">
        <f t="shared" si="4"/>
        <v>342</v>
      </c>
      <c r="H12" s="1">
        <f t="shared" si="4"/>
        <v>572</v>
      </c>
      <c r="I12" s="1">
        <f t="shared" si="4"/>
        <v>335</v>
      </c>
      <c r="J12" s="1">
        <f t="shared" si="4"/>
        <v>2789</v>
      </c>
      <c r="K12" s="1">
        <f t="shared" si="4"/>
        <v>2719</v>
      </c>
      <c r="L12" s="1">
        <f t="shared" si="1"/>
        <v>10000</v>
      </c>
      <c r="M12" s="10">
        <v>1</v>
      </c>
      <c r="N12">
        <f>D4+F4+H4+J4+D6+F6+H6+J6+D8+F8+H8+J8+D10+F10+H10+J10</f>
        <v>5398</v>
      </c>
      <c r="O12">
        <f>E4+G4+I4+K4+E6+G6+I6+K6+E8+G8+I8+K8+E10+G10+I10+K10</f>
        <v>952</v>
      </c>
      <c r="P12" s="10">
        <v>1</v>
      </c>
      <c r="Q12">
        <f>(N12+O12)*(N12+N13)/$L$12</f>
        <v>3990.34</v>
      </c>
      <c r="R12">
        <f>(N12+O12)*(O12+O13)/$L$12</f>
        <v>2359.66</v>
      </c>
      <c r="S12" s="10">
        <v>1</v>
      </c>
      <c r="T12">
        <f>POWER(N12-Q12,2)/Q12</f>
        <v>496.57589969776996</v>
      </c>
      <c r="U12">
        <f>POWER(O12-R12,2)/R12</f>
        <v>839.74245255672406</v>
      </c>
      <c r="V12" s="23">
        <f>T12+U12+T13+U13</f>
        <v>3661.1461705602587</v>
      </c>
      <c r="W12">
        <f>_xlfn.CHISQ.DIST(V12,1,TRUE)</f>
        <v>1</v>
      </c>
      <c r="X12" s="23">
        <f>1-W12</f>
        <v>0</v>
      </c>
      <c r="Y12" s="1" t="s">
        <v>46</v>
      </c>
      <c r="Z12" s="7">
        <f>SUM(Z4:Z11)</f>
        <v>10000</v>
      </c>
      <c r="AA12" s="7">
        <f>SUM(AA4:AA11)</f>
        <v>5528</v>
      </c>
      <c r="AB12" s="7">
        <f>SUM(AB4:AB11)</f>
        <v>4472</v>
      </c>
      <c r="AC12" s="7"/>
      <c r="AD12" s="6"/>
      <c r="AE12" s="6"/>
    </row>
    <row r="13" spans="1:31">
      <c r="A13" s="7"/>
      <c r="C13" s="1" t="s">
        <v>25</v>
      </c>
      <c r="D13" s="4">
        <f>p_111*(1-ep1_)*(1-ep2_)*(1-ep3_)</f>
        <v>0.23612954433870023</v>
      </c>
      <c r="E13" s="4">
        <f>p_111*(1-ep1_)*(1-ep2_)*(ep3_)</f>
        <v>2.6843945152443167E-2</v>
      </c>
      <c r="F13" s="4">
        <f>p_111*(1-ep1_)*(ep2_)*(1-ep3_)</f>
        <v>2.6023587634960679E-2</v>
      </c>
      <c r="G13" s="4">
        <f>p_111*(1-ep1_)*(ep2_)*(ep3_)</f>
        <v>2.9584428373802193E-3</v>
      </c>
      <c r="H13" s="4">
        <f>p_111*(ep1_)*(1-ep2_)*(1-ep3_)</f>
        <v>2.5342414321759169E-2</v>
      </c>
      <c r="I13" s="4">
        <f>p_111*(ep1_)*(1-ep2_)*(ep3_)</f>
        <v>2.8810049246018798E-3</v>
      </c>
      <c r="J13" s="4">
        <f>p_111*(ep1_)*(ep2_)*(1-ep3_)</f>
        <v>2.7929607107436152E-3</v>
      </c>
      <c r="K13" s="4">
        <f>p_111*(ep1_)*(ep2_)*(ep3_)</f>
        <v>3.1751250925461801E-4</v>
      </c>
      <c r="M13" s="10">
        <v>2</v>
      </c>
      <c r="N13">
        <f>D5+F5+H5+J5+D7+F7+H7+J7+D9+F9+H9+J9+D11+F11+H11+J11</f>
        <v>886</v>
      </c>
      <c r="O13">
        <f>E5+G5+I5+K5+E7+G7+I7+K7+E9+G9+I9+K9+E11+G11+I11+K11</f>
        <v>2764</v>
      </c>
      <c r="P13" s="10">
        <v>2</v>
      </c>
      <c r="Q13">
        <f>(N12+N13)*(N13+O13)/$L$12</f>
        <v>2293.66</v>
      </c>
      <c r="R13">
        <f>(N13+O13)*(O12+O13)/$L$12</f>
        <v>1356.34</v>
      </c>
      <c r="S13" s="10">
        <v>2</v>
      </c>
      <c r="T13">
        <f>POWER(N13-Q13,2)/Q13</f>
        <v>863.90601728242177</v>
      </c>
      <c r="U13">
        <f>POWER(O13-R13,2)/R13</f>
        <v>1460.9218010233424</v>
      </c>
      <c r="AC13" s="7"/>
      <c r="AD13" s="6"/>
      <c r="AE13" s="6"/>
    </row>
    <row r="14" spans="1:31">
      <c r="A14" s="7"/>
      <c r="C14" s="1"/>
      <c r="D14" s="1" t="s">
        <v>13</v>
      </c>
      <c r="E14" s="1" t="s">
        <v>14</v>
      </c>
      <c r="F14" s="1" t="s">
        <v>15</v>
      </c>
      <c r="G14" s="1" t="s">
        <v>16</v>
      </c>
      <c r="H14" s="1" t="s">
        <v>17</v>
      </c>
      <c r="I14" s="1" t="s">
        <v>18</v>
      </c>
      <c r="J14" s="1" t="s">
        <v>19</v>
      </c>
      <c r="K14" s="1" t="s">
        <v>20</v>
      </c>
      <c r="L14" s="1"/>
      <c r="V14" s="7"/>
      <c r="W14" s="7"/>
      <c r="X14" s="7"/>
      <c r="Y14" s="7"/>
      <c r="Z14" s="7"/>
      <c r="AA14" s="7"/>
      <c r="AB14" s="7"/>
      <c r="AC14" s="7"/>
      <c r="AD14" s="6"/>
      <c r="AE14" s="6"/>
    </row>
    <row r="15" spans="1:31">
      <c r="A15" s="7"/>
      <c r="B15" s="4">
        <f>(1-e1_)*(1-e2_)*(1-e3_)</f>
        <v>0.73039677533498648</v>
      </c>
      <c r="C15" s="1" t="s">
        <v>13</v>
      </c>
      <c r="D15" s="4">
        <f t="shared" ref="D15:K22" si="5">row_111*col_111</f>
        <v>0.17246825774630636</v>
      </c>
      <c r="E15" s="4">
        <f t="shared" si="5"/>
        <v>1.960673097661373E-2</v>
      </c>
      <c r="F15" s="4">
        <f t="shared" si="5"/>
        <v>1.9007544491222706E-2</v>
      </c>
      <c r="G15" s="4">
        <f t="shared" si="5"/>
        <v>2.1608371084354001E-3</v>
      </c>
      <c r="H15" s="4">
        <f t="shared" si="5"/>
        <v>1.8510017699816077E-2</v>
      </c>
      <c r="I15" s="4">
        <f t="shared" si="5"/>
        <v>2.1042767066534289E-3</v>
      </c>
      <c r="J15" s="4">
        <f t="shared" si="5"/>
        <v>2.0399694967644486E-3</v>
      </c>
      <c r="K15" s="4">
        <f t="shared" si="5"/>
        <v>2.3191011288809305E-4</v>
      </c>
      <c r="M15" s="45">
        <v>0.1</v>
      </c>
      <c r="N15" s="45">
        <v>0.1</v>
      </c>
      <c r="O15" s="45">
        <v>0.1</v>
      </c>
      <c r="P15" s="45">
        <v>0.125</v>
      </c>
      <c r="Q15" s="45">
        <v>0.125</v>
      </c>
      <c r="R15" s="45">
        <v>0.125</v>
      </c>
      <c r="S15" s="45">
        <v>0.125</v>
      </c>
      <c r="T15" s="45">
        <v>0.125</v>
      </c>
      <c r="U15" s="45">
        <v>0.125</v>
      </c>
      <c r="V15" s="45">
        <v>0.125</v>
      </c>
      <c r="W15" s="45">
        <v>0.125</v>
      </c>
      <c r="AC15" s="7"/>
    </row>
    <row r="16" spans="1:31">
      <c r="A16" s="7"/>
      <c r="B16" s="4">
        <f>(1-e1_)*(1-e2_)*(e3_)</f>
        <v>8.3033789911906006E-2</v>
      </c>
      <c r="C16" s="1" t="s">
        <v>14</v>
      </c>
      <c r="D16" s="4">
        <f t="shared" si="5"/>
        <v>1.960673097661373E-2</v>
      </c>
      <c r="E16" s="4">
        <f t="shared" si="5"/>
        <v>2.2289545021946934E-3</v>
      </c>
      <c r="F16" s="4">
        <f t="shared" si="5"/>
        <v>2.1608371084354001E-3</v>
      </c>
      <c r="G16" s="4">
        <f t="shared" si="5"/>
        <v>2.4565072102541226E-4</v>
      </c>
      <c r="H16" s="4">
        <f t="shared" si="5"/>
        <v>2.1042767066534289E-3</v>
      </c>
      <c r="I16" s="4">
        <f t="shared" si="5"/>
        <v>2.392207576445591E-4</v>
      </c>
      <c r="J16" s="4">
        <f t="shared" si="5"/>
        <v>2.3191011288809302E-4</v>
      </c>
      <c r="K16" s="4">
        <f t="shared" si="5"/>
        <v>2.6364266987850062E-5</v>
      </c>
      <c r="O16" s="8" t="s">
        <v>11</v>
      </c>
      <c r="P16">
        <v>75.7</v>
      </c>
      <c r="AC16" s="7"/>
    </row>
    <row r="17" spans="1:29">
      <c r="A17" s="7"/>
      <c r="B17" s="4">
        <f>(1-e1_)*(e2_)*(1-e3_)</f>
        <v>8.0496257020504836E-2</v>
      </c>
      <c r="C17" s="1" t="s">
        <v>15</v>
      </c>
      <c r="D17" s="4">
        <f t="shared" si="5"/>
        <v>1.9007544491222706E-2</v>
      </c>
      <c r="E17" s="4">
        <f t="shared" si="5"/>
        <v>2.1608371084354001E-3</v>
      </c>
      <c r="F17" s="4">
        <f t="shared" si="5"/>
        <v>2.0948013988594263E-3</v>
      </c>
      <c r="G17" s="4">
        <f t="shared" si="5"/>
        <v>2.3814357501822971E-4</v>
      </c>
      <c r="H17" s="4">
        <f t="shared" si="5"/>
        <v>2.0399694967644486E-3</v>
      </c>
      <c r="I17" s="4">
        <f t="shared" si="5"/>
        <v>2.3191011288809307E-4</v>
      </c>
      <c r="J17" s="4">
        <f t="shared" si="5"/>
        <v>2.2482288322018992E-4</v>
      </c>
      <c r="K17" s="4">
        <f t="shared" si="5"/>
        <v>2.5558568552185151E-5</v>
      </c>
      <c r="O17" t="s">
        <v>103</v>
      </c>
      <c r="P17">
        <f>CHIDIST(P16,57)</f>
        <v>4.9392389975987223E-2</v>
      </c>
      <c r="AC17" s="7"/>
    </row>
    <row r="18" spans="1:29">
      <c r="A18" s="7"/>
      <c r="B18" s="4">
        <f>(1-e1_)*(e2_)*(e3_)</f>
        <v>9.1510662695216648E-3</v>
      </c>
      <c r="C18" s="1" t="s">
        <v>16</v>
      </c>
      <c r="D18" s="4">
        <f t="shared" si="5"/>
        <v>2.1608371084354001E-3</v>
      </c>
      <c r="E18" s="4">
        <f t="shared" si="5"/>
        <v>2.4565072102541226E-4</v>
      </c>
      <c r="F18" s="4">
        <f t="shared" si="5"/>
        <v>2.3814357501822974E-4</v>
      </c>
      <c r="G18" s="4">
        <f t="shared" si="5"/>
        <v>2.7072906459458093E-5</v>
      </c>
      <c r="H18" s="4">
        <f t="shared" si="5"/>
        <v>2.3191011288809307E-4</v>
      </c>
      <c r="I18" s="4">
        <f t="shared" si="5"/>
        <v>2.6364266987850069E-5</v>
      </c>
      <c r="J18" s="4">
        <f t="shared" si="5"/>
        <v>2.5558568552185151E-5</v>
      </c>
      <c r="K18" s="4">
        <f t="shared" si="5"/>
        <v>2.9055780135911205E-6</v>
      </c>
      <c r="AC18" s="7"/>
    </row>
    <row r="19" spans="1:29">
      <c r="A19" s="7"/>
      <c r="B19" s="4">
        <f>(e1_)*(1-e2_)*(1-e3_)</f>
        <v>7.8389249221883117E-2</v>
      </c>
      <c r="C19" s="1" t="s">
        <v>17</v>
      </c>
      <c r="D19" s="4">
        <f t="shared" si="5"/>
        <v>1.8510017699816073E-2</v>
      </c>
      <c r="E19" s="4">
        <f t="shared" si="5"/>
        <v>2.1042767066534285E-3</v>
      </c>
      <c r="F19" s="4">
        <f t="shared" si="5"/>
        <v>2.0399694967644486E-3</v>
      </c>
      <c r="G19" s="4">
        <f t="shared" si="5"/>
        <v>2.3191011288809305E-4</v>
      </c>
      <c r="H19" s="4">
        <f t="shared" si="5"/>
        <v>1.9865728321525992E-3</v>
      </c>
      <c r="I19" s="4">
        <f t="shared" si="5"/>
        <v>2.2583981304408933E-4</v>
      </c>
      <c r="J19" s="4">
        <f t="shared" si="5"/>
        <v>2.1893809322140906E-4</v>
      </c>
      <c r="K19" s="4">
        <f t="shared" si="5"/>
        <v>2.4889567219025721E-5</v>
      </c>
      <c r="AC19" s="7"/>
    </row>
    <row r="20" spans="1:29">
      <c r="A20" s="7"/>
      <c r="B20" s="4">
        <f>(e1_)*(1-e2_)*(e3_)</f>
        <v>8.9115350328000022E-3</v>
      </c>
      <c r="C20" s="1" t="s">
        <v>18</v>
      </c>
      <c r="D20" s="4">
        <f t="shared" si="5"/>
        <v>2.1042767066534285E-3</v>
      </c>
      <c r="E20" s="4">
        <f t="shared" si="5"/>
        <v>2.3922075764455907E-4</v>
      </c>
      <c r="F20" s="4">
        <f t="shared" si="5"/>
        <v>2.3191011288809305E-4</v>
      </c>
      <c r="G20" s="4">
        <f t="shared" si="5"/>
        <v>2.6364266987850065E-5</v>
      </c>
      <c r="H20" s="4">
        <f t="shared" si="5"/>
        <v>2.2583981304408933E-4</v>
      </c>
      <c r="I20" s="4">
        <f t="shared" si="5"/>
        <v>2.5674176315258982E-5</v>
      </c>
      <c r="J20" s="4">
        <f t="shared" si="5"/>
        <v>2.4889567219025721E-5</v>
      </c>
      <c r="K20" s="4">
        <f t="shared" si="5"/>
        <v>2.8295238495747633E-6</v>
      </c>
      <c r="AC20" s="7"/>
    </row>
    <row r="21" spans="1:29">
      <c r="A21" s="7"/>
      <c r="B21" s="4">
        <f>(e1_)*(e2_)*(1-e3_)</f>
        <v>8.6391963465543755E-3</v>
      </c>
      <c r="C21" s="1" t="s">
        <v>19</v>
      </c>
      <c r="D21" s="4">
        <f t="shared" si="5"/>
        <v>2.0399694967644486E-3</v>
      </c>
      <c r="E21" s="4">
        <f t="shared" si="5"/>
        <v>2.3191011288809305E-4</v>
      </c>
      <c r="F21" s="4">
        <f t="shared" si="5"/>
        <v>2.2482288322018992E-4</v>
      </c>
      <c r="G21" s="4">
        <f t="shared" si="5"/>
        <v>2.5558568552185151E-5</v>
      </c>
      <c r="H21" s="4">
        <f t="shared" si="5"/>
        <v>2.1893809322140909E-4</v>
      </c>
      <c r="I21" s="4">
        <f t="shared" si="5"/>
        <v>2.4889567219025725E-5</v>
      </c>
      <c r="J21" s="4">
        <f t="shared" si="5"/>
        <v>2.4128935968326152E-5</v>
      </c>
      <c r="K21" s="4">
        <f t="shared" si="5"/>
        <v>2.7430529099378084E-6</v>
      </c>
      <c r="M21" t="s">
        <v>62</v>
      </c>
      <c r="AC21" s="7"/>
    </row>
    <row r="22" spans="1:29">
      <c r="A22" s="7"/>
      <c r="B22" s="4">
        <f>(e1_)*(e2_)*(e3_)</f>
        <v>9.8213086184355258E-4</v>
      </c>
      <c r="C22" s="1" t="s">
        <v>20</v>
      </c>
      <c r="D22" s="4">
        <f t="shared" si="5"/>
        <v>2.3191011288809302E-4</v>
      </c>
      <c r="E22" s="4">
        <f t="shared" si="5"/>
        <v>2.6364266987850062E-5</v>
      </c>
      <c r="F22" s="4">
        <f t="shared" si="5"/>
        <v>2.5558568552185151E-5</v>
      </c>
      <c r="G22" s="4">
        <f t="shared" si="5"/>
        <v>2.9055780135911201E-6</v>
      </c>
      <c r="H22" s="4">
        <f t="shared" si="5"/>
        <v>2.4889567219025721E-5</v>
      </c>
      <c r="I22" s="4">
        <f t="shared" si="5"/>
        <v>2.8295238495747633E-6</v>
      </c>
      <c r="J22" s="4">
        <f t="shared" si="5"/>
        <v>2.743052909937808E-6</v>
      </c>
      <c r="K22" s="4">
        <f t="shared" si="5"/>
        <v>3.1183883436034695E-7</v>
      </c>
      <c r="AC22" s="7"/>
    </row>
    <row r="23" spans="1:29">
      <c r="A23" s="7"/>
      <c r="AC23" s="7"/>
    </row>
    <row r="24" spans="1:29">
      <c r="A24" s="7"/>
      <c r="C24" s="1" t="s">
        <v>26</v>
      </c>
      <c r="D24" s="4">
        <f>p_112*(1-ep1_)*(1-ep2_)*(ep3_)</f>
        <v>0</v>
      </c>
      <c r="E24" s="4">
        <f>p_112*(1-ep1_)*(1-ep2_)*(1-ep3_)</f>
        <v>0</v>
      </c>
      <c r="F24" s="4">
        <f>p_112*(1-ep1_)*(ep2_)*(ep3_)</f>
        <v>0</v>
      </c>
      <c r="G24" s="4">
        <f>p_112*(1-ep1_)*(ep2_)*(1-ep3_)</f>
        <v>0</v>
      </c>
      <c r="H24" s="4">
        <f>p_112*(ep1_)*(1-ep2_)*(ep3_)</f>
        <v>0</v>
      </c>
      <c r="I24" s="4">
        <f>p_112*(ep1_)*(1-ep2_)*(1-ep3_)</f>
        <v>0</v>
      </c>
      <c r="J24" s="4">
        <f>p_112*(ep1_)*(ep2_)*(ep3_)</f>
        <v>0</v>
      </c>
      <c r="K24" s="4">
        <f>p_112*(ep1_)*(ep2_)*(1-ep3_)</f>
        <v>0</v>
      </c>
      <c r="O24">
        <f>(1-P2)*(1-P3)*(1-P4)</f>
        <v>8.0830966320000017E-2</v>
      </c>
      <c r="P24">
        <f>(1-P2)*(1-P3)*(P4)</f>
        <v>4.7798833680000007E-2</v>
      </c>
      <c r="Q24">
        <f>(1-P2)*P3*(1-P4)</f>
        <v>0.14445043368000002</v>
      </c>
      <c r="R24">
        <f>(1-P2)*P3*P4</f>
        <v>8.5419766320000007E-2</v>
      </c>
      <c r="S24">
        <f>P2*(1-P3)*(1-P4)</f>
        <v>0.14463895368000002</v>
      </c>
      <c r="T24">
        <f>P2*(1-P3)*P4</f>
        <v>8.553124631999999E-2</v>
      </c>
      <c r="U24">
        <f>P2*P3*(1-P4)</f>
        <v>0.25847964632000003</v>
      </c>
      <c r="V24">
        <f>P2*P3*P4</f>
        <v>0.15285015367999999</v>
      </c>
      <c r="AC24" s="7"/>
    </row>
    <row r="25" spans="1:29">
      <c r="A25" s="7"/>
      <c r="C25" s="1"/>
      <c r="D25" s="1" t="s">
        <v>13</v>
      </c>
      <c r="E25" s="1" t="s">
        <v>14</v>
      </c>
      <c r="F25" s="1" t="s">
        <v>15</v>
      </c>
      <c r="G25" s="1" t="s">
        <v>16</v>
      </c>
      <c r="H25" s="1" t="s">
        <v>17</v>
      </c>
      <c r="I25" s="1" t="s">
        <v>18</v>
      </c>
      <c r="J25" s="1" t="s">
        <v>19</v>
      </c>
      <c r="K25" s="1" t="s">
        <v>20</v>
      </c>
      <c r="L25" s="1"/>
      <c r="N25" s="7"/>
      <c r="O25" s="1" t="s">
        <v>13</v>
      </c>
      <c r="P25" s="1" t="s">
        <v>14</v>
      </c>
      <c r="Q25" s="1" t="s">
        <v>15</v>
      </c>
      <c r="R25" s="1" t="s">
        <v>16</v>
      </c>
      <c r="S25" s="1" t="s">
        <v>17</v>
      </c>
      <c r="T25" s="1" t="s">
        <v>18</v>
      </c>
      <c r="U25" s="1" t="s">
        <v>19</v>
      </c>
      <c r="V25" s="1" t="s">
        <v>20</v>
      </c>
      <c r="AC25" s="7"/>
    </row>
    <row r="26" spans="1:29">
      <c r="A26" s="7"/>
      <c r="B26" s="4">
        <f>(1-e1_)*(1-e2_)*(e3_)</f>
        <v>8.3033789911906006E-2</v>
      </c>
      <c r="C26" s="1" t="s">
        <v>13</v>
      </c>
      <c r="D26" s="4">
        <f t="shared" ref="D26:K33" si="6">row_112*col_112</f>
        <v>0</v>
      </c>
      <c r="E26" s="4">
        <f t="shared" si="6"/>
        <v>0</v>
      </c>
      <c r="F26" s="4">
        <f t="shared" si="6"/>
        <v>0</v>
      </c>
      <c r="G26" s="4">
        <f t="shared" si="6"/>
        <v>0</v>
      </c>
      <c r="H26" s="4">
        <f t="shared" si="6"/>
        <v>0</v>
      </c>
      <c r="I26" s="4">
        <f t="shared" si="6"/>
        <v>0</v>
      </c>
      <c r="J26" s="4">
        <f t="shared" si="6"/>
        <v>0</v>
      </c>
      <c r="K26" s="4">
        <f t="shared" si="6"/>
        <v>0</v>
      </c>
      <c r="M26" s="4">
        <f>(1-O2)*(1-O3)*(1-O4)</f>
        <v>8.1979528699999998E-2</v>
      </c>
      <c r="N26" s="1" t="s">
        <v>13</v>
      </c>
      <c r="O26">
        <f t="shared" ref="O26:V33" si="7">row_I*col_I</f>
        <v>6.6264845232791745E-3</v>
      </c>
      <c r="P26">
        <f t="shared" si="7"/>
        <v>3.9185258574960871E-3</v>
      </c>
      <c r="Q26">
        <f t="shared" si="7"/>
        <v>1.1841978473597008E-2</v>
      </c>
      <c r="R26">
        <f t="shared" si="7"/>
        <v>7.0026721845777339E-3</v>
      </c>
      <c r="S26">
        <f t="shared" si="7"/>
        <v>1.1857433254347531E-2</v>
      </c>
      <c r="T26">
        <f t="shared" si="7"/>
        <v>7.0118112624372089E-3</v>
      </c>
      <c r="U26">
        <f t="shared" si="7"/>
        <v>2.119003958385629E-2</v>
      </c>
      <c r="V26">
        <f t="shared" si="7"/>
        <v>1.2530583560408969E-2</v>
      </c>
      <c r="AC26" s="7"/>
    </row>
    <row r="27" spans="1:29">
      <c r="A27" s="7"/>
      <c r="B27" s="4">
        <f>(1-e1_)*(1-e2_)*(1-e3_)</f>
        <v>0.73039677533498648</v>
      </c>
      <c r="C27" s="1" t="s">
        <v>14</v>
      </c>
      <c r="D27" s="4">
        <f t="shared" si="6"/>
        <v>0</v>
      </c>
      <c r="E27" s="4">
        <f t="shared" si="6"/>
        <v>0</v>
      </c>
      <c r="F27" s="4">
        <f t="shared" si="6"/>
        <v>0</v>
      </c>
      <c r="G27" s="4">
        <f t="shared" si="6"/>
        <v>0</v>
      </c>
      <c r="H27" s="4">
        <f t="shared" si="6"/>
        <v>0</v>
      </c>
      <c r="I27" s="4">
        <f t="shared" si="6"/>
        <v>0</v>
      </c>
      <c r="J27" s="4">
        <f t="shared" si="6"/>
        <v>0</v>
      </c>
      <c r="K27" s="4">
        <f t="shared" si="6"/>
        <v>0</v>
      </c>
      <c r="M27" s="4">
        <f>(1-O2)*(1-O3)*O4</f>
        <v>4.7122091300000002E-2</v>
      </c>
      <c r="N27" s="1" t="s">
        <v>14</v>
      </c>
      <c r="O27">
        <f t="shared" si="7"/>
        <v>3.8089241747982661E-3</v>
      </c>
      <c r="P27">
        <f t="shared" si="7"/>
        <v>2.2523810047024753E-3</v>
      </c>
      <c r="Q27">
        <f t="shared" si="7"/>
        <v>6.8068065241935561E-3</v>
      </c>
      <c r="R27">
        <f t="shared" si="7"/>
        <v>4.0251580273557054E-3</v>
      </c>
      <c r="S27">
        <f t="shared" si="7"/>
        <v>6.8156899808454316E-3</v>
      </c>
      <c r="T27">
        <f t="shared" si="7"/>
        <v>4.0304111980938289E-3</v>
      </c>
      <c r="U27">
        <f t="shared" si="7"/>
        <v>1.218010149308275E-2</v>
      </c>
      <c r="V27">
        <f t="shared" si="7"/>
        <v>7.2026188969279911E-3</v>
      </c>
      <c r="AC27" s="7"/>
    </row>
    <row r="28" spans="1:29">
      <c r="A28" s="7"/>
      <c r="B28" s="4">
        <f>(1-e1_)*(e2_)*(e3_)</f>
        <v>9.1510662695216648E-3</v>
      </c>
      <c r="C28" s="1" t="s">
        <v>15</v>
      </c>
      <c r="D28" s="4">
        <f t="shared" si="6"/>
        <v>0</v>
      </c>
      <c r="E28" s="4">
        <f t="shared" si="6"/>
        <v>0</v>
      </c>
      <c r="F28" s="4">
        <f t="shared" si="6"/>
        <v>0</v>
      </c>
      <c r="G28" s="4">
        <f t="shared" si="6"/>
        <v>0</v>
      </c>
      <c r="H28" s="4">
        <f t="shared" si="6"/>
        <v>0</v>
      </c>
      <c r="I28" s="4">
        <f t="shared" si="6"/>
        <v>0</v>
      </c>
      <c r="J28" s="4">
        <f t="shared" si="6"/>
        <v>0</v>
      </c>
      <c r="K28" s="4">
        <f t="shared" si="6"/>
        <v>0</v>
      </c>
      <c r="M28" s="4">
        <f>(1-O2)*O3*(1-O4)</f>
        <v>0.1426834713</v>
      </c>
      <c r="N28" s="1" t="s">
        <v>15</v>
      </c>
      <c r="O28">
        <f t="shared" si="7"/>
        <v>1.1533242863070989E-2</v>
      </c>
      <c r="P28">
        <f t="shared" si="7"/>
        <v>6.8201035135537543E-3</v>
      </c>
      <c r="Q28">
        <f t="shared" si="7"/>
        <v>2.0610689308252838E-2</v>
      </c>
      <c r="R28">
        <f t="shared" si="7"/>
        <v>1.2187988776172429E-2</v>
      </c>
      <c r="S28">
        <f t="shared" si="7"/>
        <v>2.0637587996262311E-2</v>
      </c>
      <c r="T28">
        <f t="shared" si="7"/>
        <v>1.2203895129552949E-2</v>
      </c>
      <c r="U28">
        <f t="shared" si="7"/>
        <v>3.6880773197333877E-2</v>
      </c>
      <c r="V28">
        <f t="shared" si="7"/>
        <v>2.180919051580087E-2</v>
      </c>
      <c r="AC28" s="7"/>
    </row>
    <row r="29" spans="1:29">
      <c r="A29" s="7"/>
      <c r="B29" s="4">
        <f>(1-e1_)*(e2_)*(1-e3_)</f>
        <v>8.0496257020504836E-2</v>
      </c>
      <c r="C29" s="1" t="s">
        <v>16</v>
      </c>
      <c r="D29" s="4">
        <f t="shared" si="6"/>
        <v>0</v>
      </c>
      <c r="E29" s="4">
        <f t="shared" si="6"/>
        <v>0</v>
      </c>
      <c r="F29" s="4">
        <f t="shared" si="6"/>
        <v>0</v>
      </c>
      <c r="G29" s="4">
        <f t="shared" si="6"/>
        <v>0</v>
      </c>
      <c r="H29" s="4">
        <f t="shared" si="6"/>
        <v>0</v>
      </c>
      <c r="I29" s="4">
        <f t="shared" si="6"/>
        <v>0</v>
      </c>
      <c r="J29" s="4">
        <f t="shared" si="6"/>
        <v>0</v>
      </c>
      <c r="K29" s="4">
        <f t="shared" si="6"/>
        <v>0</v>
      </c>
      <c r="M29" s="4">
        <f>(1-O2)*O3*O4</f>
        <v>8.20149087E-2</v>
      </c>
      <c r="N29" s="1" t="s">
        <v>16</v>
      </c>
      <c r="O29">
        <f t="shared" si="7"/>
        <v>6.6293443228675761E-3</v>
      </c>
      <c r="P29">
        <f t="shared" si="7"/>
        <v>3.9202169802316856E-3</v>
      </c>
      <c r="Q29">
        <f t="shared" si="7"/>
        <v>1.1847089129940607E-2</v>
      </c>
      <c r="R29">
        <f t="shared" si="7"/>
        <v>7.0056943359101355E-3</v>
      </c>
      <c r="S29">
        <f t="shared" si="7"/>
        <v>1.186255058052873E-2</v>
      </c>
      <c r="T29">
        <f t="shared" si="7"/>
        <v>7.0148373579320099E-3</v>
      </c>
      <c r="U29">
        <f t="shared" si="7"/>
        <v>2.1199184593743092E-2</v>
      </c>
      <c r="V29">
        <f t="shared" si="7"/>
        <v>1.2535991398846168E-2</v>
      </c>
      <c r="AC29" s="7"/>
    </row>
    <row r="30" spans="1:29">
      <c r="A30" s="7"/>
      <c r="B30" s="4">
        <f>(e1_)*(1-e2_)*(e3_)</f>
        <v>8.9115350328000022E-3</v>
      </c>
      <c r="C30" s="1" t="s">
        <v>17</v>
      </c>
      <c r="D30" s="4">
        <f t="shared" si="6"/>
        <v>0</v>
      </c>
      <c r="E30" s="4">
        <f t="shared" si="6"/>
        <v>0</v>
      </c>
      <c r="F30" s="4">
        <f t="shared" si="6"/>
        <v>0</v>
      </c>
      <c r="G30" s="4">
        <f t="shared" si="6"/>
        <v>0</v>
      </c>
      <c r="H30" s="4">
        <f t="shared" si="6"/>
        <v>0</v>
      </c>
      <c r="I30" s="4">
        <f t="shared" si="6"/>
        <v>0</v>
      </c>
      <c r="J30" s="4">
        <f t="shared" si="6"/>
        <v>0</v>
      </c>
      <c r="K30" s="4">
        <f t="shared" si="6"/>
        <v>0</v>
      </c>
      <c r="M30" s="4">
        <f>O2*(1-O3)*(1-O4)</f>
        <v>0.14973197130000002</v>
      </c>
      <c r="N30" s="1" t="s">
        <v>17</v>
      </c>
      <c r="O30">
        <f t="shared" si="7"/>
        <v>1.2102979929177511E-2</v>
      </c>
      <c r="P30">
        <f t="shared" si="7"/>
        <v>7.1570135927472352E-3</v>
      </c>
      <c r="Q30">
        <f t="shared" si="7"/>
        <v>2.1628848190046318E-2</v>
      </c>
      <c r="R30">
        <f t="shared" si="7"/>
        <v>1.2790069999078949E-2</v>
      </c>
      <c r="S30">
        <f t="shared" si="7"/>
        <v>2.1657075661275792E-2</v>
      </c>
      <c r="T30">
        <f t="shared" si="7"/>
        <v>1.280676211923947E-2</v>
      </c>
      <c r="U30">
        <f t="shared" si="7"/>
        <v>3.8702666984420403E-2</v>
      </c>
      <c r="V30">
        <f t="shared" si="7"/>
        <v>2.288655482401435E-2</v>
      </c>
      <c r="AC30" s="7"/>
    </row>
    <row r="31" spans="1:29">
      <c r="A31" s="7"/>
      <c r="B31" s="4">
        <f>(e1_)*(1-e2_)*(1-e3_)</f>
        <v>7.8389249221883117E-2</v>
      </c>
      <c r="C31" s="1" t="s">
        <v>18</v>
      </c>
      <c r="D31" s="4">
        <f t="shared" si="6"/>
        <v>0</v>
      </c>
      <c r="E31" s="4">
        <f t="shared" si="6"/>
        <v>0</v>
      </c>
      <c r="F31" s="4">
        <f t="shared" si="6"/>
        <v>0</v>
      </c>
      <c r="G31" s="4">
        <f t="shared" si="6"/>
        <v>0</v>
      </c>
      <c r="H31" s="4">
        <f t="shared" si="6"/>
        <v>0</v>
      </c>
      <c r="I31" s="4">
        <f t="shared" si="6"/>
        <v>0</v>
      </c>
      <c r="J31" s="4">
        <f t="shared" si="6"/>
        <v>0</v>
      </c>
      <c r="K31" s="4">
        <f t="shared" si="6"/>
        <v>0</v>
      </c>
      <c r="M31" s="4">
        <f>O2*(1-O3)*O4</f>
        <v>8.6066408699999999E-2</v>
      </c>
      <c r="N31" s="1" t="s">
        <v>18</v>
      </c>
      <c r="O31">
        <f t="shared" si="7"/>
        <v>6.9568309829130563E-3</v>
      </c>
      <c r="P31">
        <f t="shared" si="7"/>
        <v>4.1138739548862054E-3</v>
      </c>
      <c r="Q31">
        <f t="shared" si="7"/>
        <v>1.2432330061995126E-2</v>
      </c>
      <c r="R31">
        <f t="shared" si="7"/>
        <v>7.3517725191556155E-3</v>
      </c>
      <c r="S31">
        <f t="shared" si="7"/>
        <v>1.244855530136325E-2</v>
      </c>
      <c r="T31">
        <f t="shared" si="7"/>
        <v>7.36136720239749E-3</v>
      </c>
      <c r="U31">
        <f t="shared" si="7"/>
        <v>2.2246414880808574E-2</v>
      </c>
      <c r="V31">
        <f t="shared" si="7"/>
        <v>1.3155263796480687E-2</v>
      </c>
      <c r="AC31" s="7"/>
    </row>
    <row r="32" spans="1:29">
      <c r="A32" s="7"/>
      <c r="B32" s="4">
        <f>(e1_)*(e2_)*(e3_)</f>
        <v>9.8213086184355258E-4</v>
      </c>
      <c r="C32" s="1" t="s">
        <v>19</v>
      </c>
      <c r="D32" s="4">
        <f t="shared" si="6"/>
        <v>0</v>
      </c>
      <c r="E32" s="4">
        <f t="shared" si="6"/>
        <v>0</v>
      </c>
      <c r="F32" s="4">
        <f t="shared" si="6"/>
        <v>0</v>
      </c>
      <c r="G32" s="4">
        <f t="shared" si="6"/>
        <v>0</v>
      </c>
      <c r="H32" s="4">
        <f t="shared" si="6"/>
        <v>0</v>
      </c>
      <c r="I32" s="4">
        <f t="shared" si="6"/>
        <v>0</v>
      </c>
      <c r="J32" s="4">
        <f t="shared" si="6"/>
        <v>0</v>
      </c>
      <c r="K32" s="4">
        <f t="shared" si="6"/>
        <v>0</v>
      </c>
      <c r="M32" s="4">
        <f>O2*O3*(1-O4)</f>
        <v>0.26060502870000002</v>
      </c>
      <c r="N32" s="1" t="s">
        <v>19</v>
      </c>
      <c r="O32">
        <f t="shared" si="7"/>
        <v>2.1064956297672341E-2</v>
      </c>
      <c r="P32">
        <f t="shared" si="7"/>
        <v>1.245661642300293E-2</v>
      </c>
      <c r="Q32">
        <f t="shared" si="7"/>
        <v>3.7644509414903854E-2</v>
      </c>
      <c r="R32">
        <f t="shared" si="7"/>
        <v>2.2260820653370896E-2</v>
      </c>
      <c r="S32">
        <f t="shared" si="7"/>
        <v>3.7693638674914376E-2</v>
      </c>
      <c r="T32">
        <f t="shared" si="7"/>
        <v>2.2289872901970369E-2</v>
      </c>
      <c r="U32">
        <f t="shared" si="7"/>
        <v>6.7361095647589464E-2</v>
      </c>
      <c r="V32">
        <f t="shared" si="7"/>
        <v>3.9833518686575808E-2</v>
      </c>
      <c r="AC32" s="7"/>
    </row>
    <row r="33" spans="1:29">
      <c r="A33" s="7"/>
      <c r="B33" s="4">
        <f>(e1_)*(e2_)*(1-e3_)</f>
        <v>8.6391963465543755E-3</v>
      </c>
      <c r="C33" s="1" t="s">
        <v>20</v>
      </c>
      <c r="D33" s="4">
        <f t="shared" si="6"/>
        <v>0</v>
      </c>
      <c r="E33" s="4">
        <f t="shared" si="6"/>
        <v>0</v>
      </c>
      <c r="F33" s="4">
        <f t="shared" si="6"/>
        <v>0</v>
      </c>
      <c r="G33" s="4">
        <f t="shared" si="6"/>
        <v>0</v>
      </c>
      <c r="H33" s="4">
        <f t="shared" si="6"/>
        <v>0</v>
      </c>
      <c r="I33" s="4">
        <f t="shared" si="6"/>
        <v>0</v>
      </c>
      <c r="J33" s="4">
        <f t="shared" si="6"/>
        <v>0</v>
      </c>
      <c r="K33" s="4">
        <f t="shared" si="6"/>
        <v>0</v>
      </c>
      <c r="M33" s="4">
        <f>O2*O3*O4</f>
        <v>0.1497965913</v>
      </c>
      <c r="N33" s="1" t="s">
        <v>20</v>
      </c>
      <c r="O33">
        <f t="shared" si="7"/>
        <v>1.2108203226221107E-2</v>
      </c>
      <c r="P33">
        <f t="shared" si="7"/>
        <v>7.1601023533796361E-3</v>
      </c>
      <c r="Q33">
        <f t="shared" si="7"/>
        <v>2.1638182577070716E-2</v>
      </c>
      <c r="R33">
        <f t="shared" si="7"/>
        <v>1.2795589824378546E-2</v>
      </c>
      <c r="S33">
        <f t="shared" si="7"/>
        <v>2.1666422230462595E-2</v>
      </c>
      <c r="T33">
        <f t="shared" si="7"/>
        <v>1.2812289148376668E-2</v>
      </c>
      <c r="U33">
        <f t="shared" si="7"/>
        <v>3.8719369939165596E-2</v>
      </c>
      <c r="V33">
        <f t="shared" si="7"/>
        <v>2.2896432000945151E-2</v>
      </c>
      <c r="AC33" s="7"/>
    </row>
    <row r="34" spans="1:29">
      <c r="A34" s="7"/>
      <c r="X34" t="s">
        <v>86</v>
      </c>
      <c r="AC34" s="7"/>
    </row>
    <row r="35" spans="1:29">
      <c r="A35" s="7"/>
      <c r="C35" s="1" t="s">
        <v>27</v>
      </c>
      <c r="D35" s="4">
        <f>p_121*(1-ep1_)*(ep2_)*(1-ep3_)</f>
        <v>0</v>
      </c>
      <c r="E35" s="4">
        <f>p_121*(1-ep1_)*(ep2_)*(ep3_)</f>
        <v>0</v>
      </c>
      <c r="F35" s="4">
        <f>p_121*(1-ep1_)*(1-ep2_)*(1-ep3_)</f>
        <v>0</v>
      </c>
      <c r="G35" s="4">
        <f>p_121*(1-ep1_)*(1-ep2_)*(ep3_)</f>
        <v>0</v>
      </c>
      <c r="H35" s="4">
        <f>p_121*(ep1_)*(ep2_)*(1-ep3_)</f>
        <v>0</v>
      </c>
      <c r="I35" s="4">
        <f>p_121*(ep1_)*(ep2_)*(ep3_)</f>
        <v>0</v>
      </c>
      <c r="J35" s="4">
        <f>p_121*(ep1_)*(1-ep2_)*(1-ep3_)</f>
        <v>0</v>
      </c>
      <c r="K35" s="4">
        <f>p_121*(ep1_)*(1-ep2_)*(ep3_)</f>
        <v>0</v>
      </c>
      <c r="P35" t="s">
        <v>63</v>
      </c>
      <c r="AA35" t="s">
        <v>44</v>
      </c>
      <c r="AC35" s="7"/>
    </row>
    <row r="36" spans="1:29">
      <c r="A36" s="7"/>
      <c r="C36" s="1"/>
      <c r="D36" s="1" t="s">
        <v>13</v>
      </c>
      <c r="E36" s="1" t="s">
        <v>14</v>
      </c>
      <c r="F36" s="1" t="s">
        <v>15</v>
      </c>
      <c r="G36" s="1" t="s">
        <v>16</v>
      </c>
      <c r="H36" s="1" t="s">
        <v>17</v>
      </c>
      <c r="I36" s="1" t="s">
        <v>18</v>
      </c>
      <c r="J36" s="1" t="s">
        <v>19</v>
      </c>
      <c r="K36" s="1" t="s">
        <v>20</v>
      </c>
      <c r="L36" s="1"/>
      <c r="O36" s="1" t="s">
        <v>13</v>
      </c>
      <c r="P36" s="1" t="s">
        <v>14</v>
      </c>
      <c r="Q36" s="1" t="s">
        <v>15</v>
      </c>
      <c r="R36" s="1" t="s">
        <v>16</v>
      </c>
      <c r="S36" s="1" t="s">
        <v>17</v>
      </c>
      <c r="T36" s="1" t="s">
        <v>18</v>
      </c>
      <c r="U36" s="1" t="s">
        <v>19</v>
      </c>
      <c r="V36" s="1" t="s">
        <v>20</v>
      </c>
      <c r="X36" s="1" t="s">
        <v>47</v>
      </c>
      <c r="Y36" s="1" t="s">
        <v>48</v>
      </c>
      <c r="Z36" s="1" t="s">
        <v>66</v>
      </c>
      <c r="AC36" s="7"/>
    </row>
    <row r="37" spans="1:29">
      <c r="A37" s="7"/>
      <c r="B37" s="4">
        <f>(1-e1_)*(e2_)*(1-e3_)</f>
        <v>8.0496257020504836E-2</v>
      </c>
      <c r="C37" s="1" t="s">
        <v>13</v>
      </c>
      <c r="D37" s="4">
        <f t="shared" ref="D37:K44" si="8">row_121*col_121</f>
        <v>0</v>
      </c>
      <c r="E37" s="4">
        <f t="shared" si="8"/>
        <v>0</v>
      </c>
      <c r="F37" s="4">
        <f t="shared" si="8"/>
        <v>0</v>
      </c>
      <c r="G37" s="4">
        <f t="shared" si="8"/>
        <v>0</v>
      </c>
      <c r="H37" s="4">
        <f t="shared" si="8"/>
        <v>0</v>
      </c>
      <c r="I37" s="4">
        <f t="shared" si="8"/>
        <v>0</v>
      </c>
      <c r="J37" s="4">
        <f t="shared" si="8"/>
        <v>0</v>
      </c>
      <c r="K37" s="4">
        <f t="shared" si="8"/>
        <v>0</v>
      </c>
      <c r="N37" s="1" t="s">
        <v>13</v>
      </c>
      <c r="O37" s="5">
        <f>$L$12*O26</f>
        <v>66.264845232791743</v>
      </c>
      <c r="P37" s="5">
        <f t="shared" ref="P37:V37" si="9">$L$12*P26</f>
        <v>39.185258574960869</v>
      </c>
      <c r="Q37" s="5">
        <f t="shared" si="9"/>
        <v>118.41978473597008</v>
      </c>
      <c r="R37" s="5">
        <f t="shared" si="9"/>
        <v>70.026721845777345</v>
      </c>
      <c r="S37" s="5">
        <f t="shared" si="9"/>
        <v>118.57433254347531</v>
      </c>
      <c r="T37" s="5">
        <f t="shared" si="9"/>
        <v>70.118112624372088</v>
      </c>
      <c r="U37" s="5">
        <f t="shared" si="9"/>
        <v>211.9003958385629</v>
      </c>
      <c r="V37" s="5">
        <f t="shared" si="9"/>
        <v>125.30583560408969</v>
      </c>
      <c r="X37">
        <f>SUM(O37:W37)</f>
        <v>819.79528700000003</v>
      </c>
      <c r="Y37">
        <f>O37</f>
        <v>66.264845232791743</v>
      </c>
      <c r="Z37">
        <f>X37-Y37</f>
        <v>753.53044176720823</v>
      </c>
      <c r="AA37">
        <f>POWER(AA4-Y37,2)/Y37</f>
        <v>40575.532446107609</v>
      </c>
      <c r="AB37">
        <f>POWER(AB4-Z37,2)/Z37</f>
        <v>2.2889288843254429</v>
      </c>
      <c r="AC37" s="7"/>
    </row>
    <row r="38" spans="1:29">
      <c r="A38" s="7"/>
      <c r="B38" s="4">
        <f>(1-e1_)*(e2_)*(e3_)</f>
        <v>9.1510662695216648E-3</v>
      </c>
      <c r="C38" s="1" t="s">
        <v>14</v>
      </c>
      <c r="D38" s="4">
        <f t="shared" si="8"/>
        <v>0</v>
      </c>
      <c r="E38" s="4">
        <f t="shared" si="8"/>
        <v>0</v>
      </c>
      <c r="F38" s="4">
        <f t="shared" si="8"/>
        <v>0</v>
      </c>
      <c r="G38" s="4">
        <f t="shared" si="8"/>
        <v>0</v>
      </c>
      <c r="H38" s="4">
        <f t="shared" si="8"/>
        <v>0</v>
      </c>
      <c r="I38" s="4">
        <f t="shared" si="8"/>
        <v>0</v>
      </c>
      <c r="J38" s="4">
        <f t="shared" si="8"/>
        <v>0</v>
      </c>
      <c r="K38" s="4">
        <f t="shared" si="8"/>
        <v>0</v>
      </c>
      <c r="N38" s="1" t="s">
        <v>14</v>
      </c>
      <c r="O38" s="5">
        <f t="shared" ref="O38:V44" si="10">$L$12*O27</f>
        <v>38.089241747982662</v>
      </c>
      <c r="P38" s="5">
        <f t="shared" si="10"/>
        <v>22.523810047024753</v>
      </c>
      <c r="Q38" s="5">
        <f t="shared" si="10"/>
        <v>68.068065241935557</v>
      </c>
      <c r="R38" s="5">
        <f t="shared" si="10"/>
        <v>40.251580273557053</v>
      </c>
      <c r="S38" s="5">
        <f t="shared" si="10"/>
        <v>68.156899808454313</v>
      </c>
      <c r="T38" s="5">
        <f t="shared" si="10"/>
        <v>40.304111980938288</v>
      </c>
      <c r="U38" s="5">
        <f t="shared" si="10"/>
        <v>121.80101493082751</v>
      </c>
      <c r="V38" s="5">
        <f t="shared" si="10"/>
        <v>72.026188969279914</v>
      </c>
      <c r="X38">
        <f t="shared" ref="X38:X44" si="11">SUM(O38:W38)</f>
        <v>471.22091300000011</v>
      </c>
      <c r="Y38">
        <f>P38</f>
        <v>22.523810047024753</v>
      </c>
      <c r="Z38">
        <f t="shared" ref="Z38:Z44" si="12">X38-Y38</f>
        <v>448.69710295297534</v>
      </c>
      <c r="AA38">
        <f t="shared" ref="AA38:AB44" si="13">POWER(AA5-Y38,2)/Y38</f>
        <v>0.55129381847867376</v>
      </c>
      <c r="AB38">
        <f t="shared" si="13"/>
        <v>70.37322102164228</v>
      </c>
      <c r="AC38" s="7"/>
    </row>
    <row r="39" spans="1:29">
      <c r="A39" s="7"/>
      <c r="B39" s="4">
        <f>(1-e1_)*(1-e2_)*(1-e3_)</f>
        <v>0.73039677533498648</v>
      </c>
      <c r="C39" s="1" t="s">
        <v>15</v>
      </c>
      <c r="D39" s="4">
        <f t="shared" si="8"/>
        <v>0</v>
      </c>
      <c r="E39" s="4">
        <f t="shared" si="8"/>
        <v>0</v>
      </c>
      <c r="F39" s="4">
        <f t="shared" si="8"/>
        <v>0</v>
      </c>
      <c r="G39" s="4">
        <f t="shared" si="8"/>
        <v>0</v>
      </c>
      <c r="H39" s="4">
        <f t="shared" si="8"/>
        <v>0</v>
      </c>
      <c r="I39" s="4">
        <f t="shared" si="8"/>
        <v>0</v>
      </c>
      <c r="J39" s="4">
        <f t="shared" si="8"/>
        <v>0</v>
      </c>
      <c r="K39" s="4">
        <f t="shared" si="8"/>
        <v>0</v>
      </c>
      <c r="N39" s="1" t="s">
        <v>15</v>
      </c>
      <c r="O39" s="5">
        <f t="shared" si="10"/>
        <v>115.33242863070988</v>
      </c>
      <c r="P39" s="5">
        <f t="shared" si="10"/>
        <v>68.201035135537538</v>
      </c>
      <c r="Q39" s="5">
        <f t="shared" si="10"/>
        <v>206.10689308252839</v>
      </c>
      <c r="R39" s="5">
        <f t="shared" si="10"/>
        <v>121.87988776172429</v>
      </c>
      <c r="S39" s="5">
        <f t="shared" si="10"/>
        <v>206.37587996262312</v>
      </c>
      <c r="T39" s="5">
        <f t="shared" si="10"/>
        <v>122.03895129552949</v>
      </c>
      <c r="U39" s="5">
        <f t="shared" si="10"/>
        <v>368.80773197333878</v>
      </c>
      <c r="V39" s="5">
        <f t="shared" si="10"/>
        <v>218.0919051580087</v>
      </c>
      <c r="X39">
        <f t="shared" si="11"/>
        <v>1426.8347130000002</v>
      </c>
      <c r="Y39">
        <f>Q39</f>
        <v>206.10689308252839</v>
      </c>
      <c r="Z39">
        <f t="shared" si="12"/>
        <v>1220.7278199174718</v>
      </c>
      <c r="AA39">
        <f t="shared" si="13"/>
        <v>135.48655893092371</v>
      </c>
      <c r="AB39">
        <f t="shared" si="13"/>
        <v>432.6380669179033</v>
      </c>
      <c r="AC39" s="7"/>
    </row>
    <row r="40" spans="1:29">
      <c r="A40" s="7"/>
      <c r="B40" s="4">
        <f>(1-e1_)*(1-e2_)*(e3_)</f>
        <v>8.3033789911906006E-2</v>
      </c>
      <c r="C40" s="1" t="s">
        <v>16</v>
      </c>
      <c r="D40" s="4">
        <f t="shared" si="8"/>
        <v>0</v>
      </c>
      <c r="E40" s="4">
        <f t="shared" si="8"/>
        <v>0</v>
      </c>
      <c r="F40" s="4">
        <f t="shared" si="8"/>
        <v>0</v>
      </c>
      <c r="G40" s="4">
        <f t="shared" si="8"/>
        <v>0</v>
      </c>
      <c r="H40" s="4">
        <f t="shared" si="8"/>
        <v>0</v>
      </c>
      <c r="I40" s="4">
        <f t="shared" si="8"/>
        <v>0</v>
      </c>
      <c r="J40" s="4">
        <f t="shared" si="8"/>
        <v>0</v>
      </c>
      <c r="K40" s="4">
        <f t="shared" si="8"/>
        <v>0</v>
      </c>
      <c r="N40" s="1" t="s">
        <v>16</v>
      </c>
      <c r="O40" s="5">
        <f t="shared" si="10"/>
        <v>66.293443228675756</v>
      </c>
      <c r="P40" s="5">
        <f t="shared" si="10"/>
        <v>39.202169802316853</v>
      </c>
      <c r="Q40" s="5">
        <f t="shared" si="10"/>
        <v>118.47089129940606</v>
      </c>
      <c r="R40" s="5">
        <f t="shared" si="10"/>
        <v>70.056943359101354</v>
      </c>
      <c r="S40" s="5">
        <f t="shared" si="10"/>
        <v>118.6255058052873</v>
      </c>
      <c r="T40" s="5">
        <f t="shared" si="10"/>
        <v>70.148373579320094</v>
      </c>
      <c r="U40" s="5">
        <f t="shared" si="10"/>
        <v>211.99184593743092</v>
      </c>
      <c r="V40" s="5">
        <f t="shared" si="10"/>
        <v>125.35991398846167</v>
      </c>
      <c r="X40">
        <f t="shared" si="11"/>
        <v>820.14908700000001</v>
      </c>
      <c r="Y40">
        <f>R40</f>
        <v>70.056943359101354</v>
      </c>
      <c r="Z40">
        <f t="shared" si="12"/>
        <v>750.09214364089871</v>
      </c>
      <c r="AA40">
        <f t="shared" si="13"/>
        <v>26.462764182074682</v>
      </c>
      <c r="AB40">
        <f t="shared" si="13"/>
        <v>307.28020329200785</v>
      </c>
      <c r="AC40" s="7"/>
    </row>
    <row r="41" spans="1:29">
      <c r="A41" s="7"/>
      <c r="B41" s="4">
        <f>(e1_)*(e2_)*(1-e3_)</f>
        <v>8.6391963465543755E-3</v>
      </c>
      <c r="C41" s="1" t="s">
        <v>17</v>
      </c>
      <c r="D41" s="4">
        <f t="shared" si="8"/>
        <v>0</v>
      </c>
      <c r="E41" s="4">
        <f t="shared" si="8"/>
        <v>0</v>
      </c>
      <c r="F41" s="4">
        <f t="shared" si="8"/>
        <v>0</v>
      </c>
      <c r="G41" s="4">
        <f t="shared" si="8"/>
        <v>0</v>
      </c>
      <c r="H41" s="4">
        <f t="shared" si="8"/>
        <v>0</v>
      </c>
      <c r="I41" s="4">
        <f t="shared" si="8"/>
        <v>0</v>
      </c>
      <c r="J41" s="4">
        <f t="shared" si="8"/>
        <v>0</v>
      </c>
      <c r="K41" s="4">
        <f t="shared" si="8"/>
        <v>0</v>
      </c>
      <c r="N41" s="1" t="s">
        <v>17</v>
      </c>
      <c r="O41" s="5">
        <f t="shared" si="10"/>
        <v>121.02979929177511</v>
      </c>
      <c r="P41" s="5">
        <f t="shared" si="10"/>
        <v>71.57013592747235</v>
      </c>
      <c r="Q41" s="5">
        <f t="shared" si="10"/>
        <v>216.28848190046318</v>
      </c>
      <c r="R41" s="5">
        <f t="shared" si="10"/>
        <v>127.90069999078949</v>
      </c>
      <c r="S41" s="5">
        <f t="shared" si="10"/>
        <v>216.57075661275792</v>
      </c>
      <c r="T41" s="5">
        <f t="shared" si="10"/>
        <v>128.06762119239471</v>
      </c>
      <c r="U41" s="5">
        <f t="shared" si="10"/>
        <v>387.02666984420404</v>
      </c>
      <c r="V41" s="5">
        <f t="shared" si="10"/>
        <v>228.86554824014351</v>
      </c>
      <c r="X41">
        <f t="shared" si="11"/>
        <v>1497.3197130000001</v>
      </c>
      <c r="Y41">
        <f>S41</f>
        <v>216.57075661275792</v>
      </c>
      <c r="Z41">
        <f t="shared" si="12"/>
        <v>1280.7489563872423</v>
      </c>
      <c r="AA41">
        <f t="shared" si="13"/>
        <v>123.54111347872514</v>
      </c>
      <c r="AB41">
        <f t="shared" si="13"/>
        <v>448.31852334716791</v>
      </c>
      <c r="AC41" s="7"/>
    </row>
    <row r="42" spans="1:29">
      <c r="A42" s="7"/>
      <c r="B42" s="4">
        <f>(e1_)*(e2_)*(e3_)</f>
        <v>9.8213086184355258E-4</v>
      </c>
      <c r="C42" s="1" t="s">
        <v>18</v>
      </c>
      <c r="D42" s="4">
        <f t="shared" si="8"/>
        <v>0</v>
      </c>
      <c r="E42" s="4">
        <f t="shared" si="8"/>
        <v>0</v>
      </c>
      <c r="F42" s="4">
        <f t="shared" si="8"/>
        <v>0</v>
      </c>
      <c r="G42" s="4">
        <f t="shared" si="8"/>
        <v>0</v>
      </c>
      <c r="H42" s="4">
        <f t="shared" si="8"/>
        <v>0</v>
      </c>
      <c r="I42" s="4">
        <f t="shared" si="8"/>
        <v>0</v>
      </c>
      <c r="J42" s="4">
        <f t="shared" si="8"/>
        <v>0</v>
      </c>
      <c r="K42" s="4">
        <f t="shared" si="8"/>
        <v>0</v>
      </c>
      <c r="N42" s="1" t="s">
        <v>18</v>
      </c>
      <c r="O42" s="5">
        <f t="shared" si="10"/>
        <v>69.56830982913057</v>
      </c>
      <c r="P42" s="5">
        <f t="shared" si="10"/>
        <v>41.138739548862056</v>
      </c>
      <c r="Q42" s="5">
        <f t="shared" si="10"/>
        <v>124.32330061995127</v>
      </c>
      <c r="R42" s="5">
        <f t="shared" si="10"/>
        <v>73.517725191556153</v>
      </c>
      <c r="S42" s="5">
        <f t="shared" si="10"/>
        <v>124.4855530136325</v>
      </c>
      <c r="T42" s="5">
        <f t="shared" si="10"/>
        <v>73.6136720239749</v>
      </c>
      <c r="U42" s="5">
        <f t="shared" si="10"/>
        <v>222.46414880808575</v>
      </c>
      <c r="V42" s="5">
        <f t="shared" si="10"/>
        <v>131.55263796480688</v>
      </c>
      <c r="X42">
        <f t="shared" si="11"/>
        <v>860.66408700000011</v>
      </c>
      <c r="Y42">
        <f>T42</f>
        <v>73.6136720239749</v>
      </c>
      <c r="Z42">
        <f t="shared" si="12"/>
        <v>787.05041497602519</v>
      </c>
      <c r="AA42">
        <f t="shared" si="13"/>
        <v>28.263867543968285</v>
      </c>
      <c r="AB42">
        <f t="shared" si="13"/>
        <v>257.34739753140508</v>
      </c>
      <c r="AC42" s="7"/>
    </row>
    <row r="43" spans="1:29">
      <c r="A43" s="7"/>
      <c r="B43" s="4">
        <f>(e1_)*(1-e2_)*(1-e3_)</f>
        <v>7.8389249221883117E-2</v>
      </c>
      <c r="C43" s="1" t="s">
        <v>19</v>
      </c>
      <c r="D43" s="4">
        <f t="shared" si="8"/>
        <v>0</v>
      </c>
      <c r="E43" s="4">
        <f t="shared" si="8"/>
        <v>0</v>
      </c>
      <c r="F43" s="4">
        <f t="shared" si="8"/>
        <v>0</v>
      </c>
      <c r="G43" s="4">
        <f t="shared" si="8"/>
        <v>0</v>
      </c>
      <c r="H43" s="4">
        <f t="shared" si="8"/>
        <v>0</v>
      </c>
      <c r="I43" s="4">
        <f t="shared" si="8"/>
        <v>0</v>
      </c>
      <c r="J43" s="4">
        <f t="shared" si="8"/>
        <v>0</v>
      </c>
      <c r="K43" s="4">
        <f t="shared" si="8"/>
        <v>0</v>
      </c>
      <c r="N43" s="1" t="s">
        <v>19</v>
      </c>
      <c r="O43" s="5">
        <f t="shared" si="10"/>
        <v>210.64956297672342</v>
      </c>
      <c r="P43" s="5">
        <f t="shared" si="10"/>
        <v>124.5661642300293</v>
      </c>
      <c r="Q43" s="5">
        <f t="shared" si="10"/>
        <v>376.44509414903854</v>
      </c>
      <c r="R43" s="5">
        <f t="shared" si="10"/>
        <v>222.60820653370897</v>
      </c>
      <c r="S43" s="5">
        <f t="shared" si="10"/>
        <v>376.93638674914376</v>
      </c>
      <c r="T43" s="5">
        <f t="shared" si="10"/>
        <v>222.89872901970369</v>
      </c>
      <c r="U43" s="5">
        <f t="shared" si="10"/>
        <v>673.61095647589468</v>
      </c>
      <c r="V43" s="5">
        <f t="shared" si="10"/>
        <v>398.33518686575809</v>
      </c>
      <c r="X43">
        <f t="shared" si="11"/>
        <v>2606.0502870000009</v>
      </c>
      <c r="Y43">
        <f>U43</f>
        <v>673.61095647589468</v>
      </c>
      <c r="Z43">
        <f t="shared" si="12"/>
        <v>1932.4393305241063</v>
      </c>
      <c r="AA43">
        <f t="shared" si="13"/>
        <v>2107.1626572927876</v>
      </c>
      <c r="AB43">
        <f t="shared" si="13"/>
        <v>491.36446038631453</v>
      </c>
      <c r="AC43" s="7"/>
    </row>
    <row r="44" spans="1:29">
      <c r="A44" s="7"/>
      <c r="B44" s="4">
        <f>(e1_)*(1-e2_)*(e3_)</f>
        <v>8.9115350328000022E-3</v>
      </c>
      <c r="C44" s="1" t="s">
        <v>20</v>
      </c>
      <c r="D44" s="4">
        <f t="shared" si="8"/>
        <v>0</v>
      </c>
      <c r="E44" s="4">
        <f t="shared" si="8"/>
        <v>0</v>
      </c>
      <c r="F44" s="4">
        <f t="shared" si="8"/>
        <v>0</v>
      </c>
      <c r="G44" s="4">
        <f t="shared" si="8"/>
        <v>0</v>
      </c>
      <c r="H44" s="4">
        <f t="shared" si="8"/>
        <v>0</v>
      </c>
      <c r="I44" s="4">
        <f t="shared" si="8"/>
        <v>0</v>
      </c>
      <c r="J44" s="4">
        <f t="shared" si="8"/>
        <v>0</v>
      </c>
      <c r="K44" s="4">
        <f t="shared" si="8"/>
        <v>0</v>
      </c>
      <c r="N44" s="1" t="s">
        <v>20</v>
      </c>
      <c r="O44" s="5">
        <f t="shared" si="10"/>
        <v>121.08203226221107</v>
      </c>
      <c r="P44" s="5">
        <f t="shared" si="10"/>
        <v>71.601023533796365</v>
      </c>
      <c r="Q44" s="5">
        <f t="shared" si="10"/>
        <v>216.38182577070717</v>
      </c>
      <c r="R44" s="5">
        <f t="shared" si="10"/>
        <v>127.95589824378546</v>
      </c>
      <c r="S44" s="5">
        <f t="shared" si="10"/>
        <v>216.66422230462595</v>
      </c>
      <c r="T44" s="5">
        <f t="shared" si="10"/>
        <v>128.12289148376667</v>
      </c>
      <c r="U44" s="5">
        <f t="shared" si="10"/>
        <v>387.19369939165597</v>
      </c>
      <c r="V44" s="5">
        <f t="shared" si="10"/>
        <v>228.96432000945151</v>
      </c>
      <c r="X44">
        <f t="shared" si="11"/>
        <v>1497.965913</v>
      </c>
      <c r="Y44">
        <f>V44</f>
        <v>228.96432000945151</v>
      </c>
      <c r="Z44">
        <f t="shared" si="12"/>
        <v>1269.0015929905485</v>
      </c>
      <c r="AA44">
        <f t="shared" si="13"/>
        <v>10656.487724649916</v>
      </c>
      <c r="AB44">
        <f t="shared" si="13"/>
        <v>103.26634265199914</v>
      </c>
      <c r="AC44" s="7"/>
    </row>
    <row r="45" spans="1:29">
      <c r="A45" s="7"/>
      <c r="X45" s="9">
        <f>SUM(X37:X44)</f>
        <v>10000</v>
      </c>
      <c r="Y45" s="9">
        <f>SUM(Y37:Y44)</f>
        <v>1557.7121968435254</v>
      </c>
      <c r="Z45" s="9">
        <f>SUM(Z37:Z44)</f>
        <v>8442.287803156476</v>
      </c>
      <c r="AA45" s="9">
        <f>SUM(AA37:AA44)</f>
        <v>53653.488426004486</v>
      </c>
      <c r="AB45" s="9">
        <f>SUM(AB37:AB44)</f>
        <v>2112.8771440327655</v>
      </c>
      <c r="AC45" s="7"/>
    </row>
    <row r="46" spans="1:29">
      <c r="A46" s="7"/>
      <c r="C46" s="1" t="s">
        <v>28</v>
      </c>
      <c r="D46" s="4">
        <f>p_122*(1-ep1_)*(ep2_)*(ep3_)</f>
        <v>1.1078317790248599E-5</v>
      </c>
      <c r="E46" s="4">
        <f>p_122*(1-ep1_)*(ep2_)*(1-ep3_)</f>
        <v>9.7449093901632924E-5</v>
      </c>
      <c r="F46" s="4">
        <f>p_122*(1-ep1_)*(1-ep2_)*(ep3_)</f>
        <v>1.0052104146994836E-4</v>
      </c>
      <c r="G46" s="4">
        <f>p_122*(1-ep1_)*(1-ep2_)*(1-ep3_)</f>
        <v>8.8422128654923879E-4</v>
      </c>
      <c r="H46" s="4">
        <f>p_122*(ep1_)*(ep2_)*(ep3_)</f>
        <v>1.1889715885187601E-6</v>
      </c>
      <c r="I46" s="4">
        <f>p_122*(ep1_)*(ep2_)*(1-ep3_)</f>
        <v>1.0458645993882282E-5</v>
      </c>
      <c r="J46" s="4">
        <f>p_122*(ep1_)*(1-ep2_)*(ep3_)</f>
        <v>1.0788340307522693E-5</v>
      </c>
      <c r="K46" s="4">
        <f>p_122*(ep1_)*(1-ep2_)*(1-ep3_)</f>
        <v>9.4898341749678102E-5</v>
      </c>
      <c r="P46" t="s">
        <v>70</v>
      </c>
      <c r="AB46" s="21">
        <f>AA45+AB45</f>
        <v>55766.365570037247</v>
      </c>
      <c r="AC46" s="7"/>
    </row>
    <row r="47" spans="1:29">
      <c r="A47" s="7"/>
      <c r="C47" s="1"/>
      <c r="D47" s="1" t="s">
        <v>13</v>
      </c>
      <c r="E47" s="1" t="s">
        <v>14</v>
      </c>
      <c r="F47" s="1" t="s">
        <v>15</v>
      </c>
      <c r="G47" s="1" t="s">
        <v>16</v>
      </c>
      <c r="H47" s="1" t="s">
        <v>17</v>
      </c>
      <c r="I47" s="1" t="s">
        <v>18</v>
      </c>
      <c r="J47" s="1" t="s">
        <v>19</v>
      </c>
      <c r="K47" s="1" t="s">
        <v>20</v>
      </c>
      <c r="L47" s="1"/>
      <c r="O47" s="1" t="s">
        <v>13</v>
      </c>
      <c r="P47" s="1" t="s">
        <v>14</v>
      </c>
      <c r="Q47" s="1" t="s">
        <v>15</v>
      </c>
      <c r="R47" s="1" t="s">
        <v>16</v>
      </c>
      <c r="S47" s="1" t="s">
        <v>17</v>
      </c>
      <c r="T47" s="1" t="s">
        <v>18</v>
      </c>
      <c r="U47" s="1" t="s">
        <v>19</v>
      </c>
      <c r="V47" s="1" t="s">
        <v>20</v>
      </c>
      <c r="Z47" t="s">
        <v>68</v>
      </c>
      <c r="AC47" s="7"/>
    </row>
    <row r="48" spans="1:29">
      <c r="A48" s="7"/>
      <c r="B48" s="4">
        <f>(1-e1_)*(e2_)*(e3_)</f>
        <v>9.1510662695216648E-3</v>
      </c>
      <c r="C48" s="1" t="s">
        <v>13</v>
      </c>
      <c r="D48" s="4">
        <f t="shared" ref="D48:K55" si="14">row_122*col_122</f>
        <v>1.0137842025338574E-7</v>
      </c>
      <c r="E48" s="4">
        <f t="shared" si="14"/>
        <v>8.9176311619868239E-7</v>
      </c>
      <c r="F48" s="4">
        <f t="shared" si="14"/>
        <v>9.1987471197283294E-7</v>
      </c>
      <c r="G48" s="4">
        <f t="shared" si="14"/>
        <v>8.091567590133789E-6</v>
      </c>
      <c r="H48" s="4">
        <f t="shared" si="14"/>
        <v>1.0880357799113617E-8</v>
      </c>
      <c r="I48" s="4">
        <f t="shared" si="14"/>
        <v>9.5707762579484034E-8</v>
      </c>
      <c r="J48" s="4">
        <f t="shared" si="14"/>
        <v>9.8724817092291906E-8</v>
      </c>
      <c r="K48" s="4">
        <f t="shared" si="14"/>
        <v>8.6842101421901881E-7</v>
      </c>
      <c r="N48" s="1" t="s">
        <v>13</v>
      </c>
      <c r="O48">
        <f>POWER(D4-O37,2)/O37</f>
        <v>40575.532446107609</v>
      </c>
      <c r="P48">
        <f t="shared" ref="P48:V55" si="15">POWER(E4-P37,2)/P37</f>
        <v>890.63461319111843</v>
      </c>
      <c r="Q48">
        <f t="shared" si="15"/>
        <v>53.479329282598201</v>
      </c>
      <c r="R48">
        <f t="shared" si="15"/>
        <v>30.25215329276908</v>
      </c>
      <c r="S48">
        <f t="shared" si="15"/>
        <v>55.915468200587192</v>
      </c>
      <c r="T48">
        <f t="shared" si="15"/>
        <v>37.266568372659322</v>
      </c>
      <c r="U48">
        <f t="shared" si="15"/>
        <v>144.36097839001306</v>
      </c>
      <c r="V48">
        <f t="shared" si="15"/>
        <v>109.81658595894316</v>
      </c>
      <c r="W48" s="7">
        <f>SUM(O48:V48)</f>
        <v>41897.258142796301</v>
      </c>
      <c r="Z48" t="s">
        <v>67</v>
      </c>
      <c r="AC48" s="7"/>
    </row>
    <row r="49" spans="1:29">
      <c r="A49" s="7"/>
      <c r="B49" s="4">
        <f>(1-e1_)*(e2_)*(1-e3_)</f>
        <v>8.0496257020504836E-2</v>
      </c>
      <c r="C49" s="1" t="s">
        <v>14</v>
      </c>
      <c r="D49" s="4">
        <f t="shared" si="14"/>
        <v>8.9176311619868239E-7</v>
      </c>
      <c r="E49" s="4">
        <f t="shared" si="14"/>
        <v>7.8442873091211537E-6</v>
      </c>
      <c r="F49" s="4">
        <f t="shared" si="14"/>
        <v>8.091567590133789E-6</v>
      </c>
      <c r="G49" s="4">
        <f t="shared" si="14"/>
        <v>7.1176503945068981E-5</v>
      </c>
      <c r="H49" s="4">
        <f t="shared" si="14"/>
        <v>9.5707762579484021E-8</v>
      </c>
      <c r="I49" s="4">
        <f t="shared" si="14"/>
        <v>8.4188185601002143E-7</v>
      </c>
      <c r="J49" s="4">
        <f t="shared" si="14"/>
        <v>8.6842101421901891E-7</v>
      </c>
      <c r="K49" s="4">
        <f t="shared" si="14"/>
        <v>7.6389613083017926E-6</v>
      </c>
      <c r="N49" s="1" t="s">
        <v>14</v>
      </c>
      <c r="O49">
        <f t="shared" ref="O49:O55" si="16">POWER(D5-O38,2)/O38</f>
        <v>506.6049591069214</v>
      </c>
      <c r="P49">
        <f t="shared" si="15"/>
        <v>0.55129381847867376</v>
      </c>
      <c r="Q49">
        <f t="shared" si="15"/>
        <v>20.18628641634826</v>
      </c>
      <c r="R49">
        <f t="shared" si="15"/>
        <v>24.263923626277847</v>
      </c>
      <c r="S49">
        <f t="shared" si="15"/>
        <v>27.326917836804743</v>
      </c>
      <c r="T49">
        <f t="shared" si="15"/>
        <v>30.924396085245654</v>
      </c>
      <c r="U49">
        <f t="shared" si="15"/>
        <v>104.46603401992131</v>
      </c>
      <c r="V49">
        <f t="shared" si="15"/>
        <v>45.150052708564601</v>
      </c>
      <c r="W49" s="7">
        <f t="shared" ref="W49:W56" si="17">SUM(O49:V49)</f>
        <v>759.47386361856252</v>
      </c>
      <c r="Z49" t="s">
        <v>69</v>
      </c>
      <c r="AB49">
        <v>12</v>
      </c>
      <c r="AC49" s="7"/>
    </row>
    <row r="50" spans="1:29">
      <c r="A50" s="7"/>
      <c r="B50" s="4">
        <f>(1-e1_)*(1-e2_)*(e3_)</f>
        <v>8.3033789911906006E-2</v>
      </c>
      <c r="C50" s="1" t="s">
        <v>15</v>
      </c>
      <c r="D50" s="4">
        <f t="shared" si="14"/>
        <v>9.1987471197283294E-7</v>
      </c>
      <c r="E50" s="4">
        <f t="shared" si="14"/>
        <v>8.091567590133789E-6</v>
      </c>
      <c r="F50" s="4">
        <f t="shared" si="14"/>
        <v>8.3466430391416838E-6</v>
      </c>
      <c r="G50" s="4">
        <f t="shared" si="14"/>
        <v>7.3420244542964734E-5</v>
      </c>
      <c r="H50" s="4">
        <f t="shared" si="14"/>
        <v>9.872481709229188E-8</v>
      </c>
      <c r="I50" s="4">
        <f t="shared" si="14"/>
        <v>8.6842101421901881E-7</v>
      </c>
      <c r="J50" s="4">
        <f t="shared" si="14"/>
        <v>8.9579678259298674E-7</v>
      </c>
      <c r="K50" s="4">
        <f t="shared" si="14"/>
        <v>7.8797689718310305E-6</v>
      </c>
      <c r="N50" s="1" t="s">
        <v>15</v>
      </c>
      <c r="O50">
        <f t="shared" si="16"/>
        <v>24.973099507859729</v>
      </c>
      <c r="P50">
        <f t="shared" si="15"/>
        <v>29.957515648607547</v>
      </c>
      <c r="Q50">
        <f t="shared" si="15"/>
        <v>135.48655893092371</v>
      </c>
      <c r="R50">
        <f t="shared" si="15"/>
        <v>106.40499490758187</v>
      </c>
      <c r="S50">
        <f t="shared" si="15"/>
        <v>132.52121167631199</v>
      </c>
      <c r="T50">
        <f t="shared" si="15"/>
        <v>101.03043801936234</v>
      </c>
      <c r="U50">
        <f t="shared" si="15"/>
        <v>71.870395581128079</v>
      </c>
      <c r="V50">
        <f t="shared" si="15"/>
        <v>152.03435404927333</v>
      </c>
      <c r="W50" s="7">
        <f t="shared" si="17"/>
        <v>754.27856832104862</v>
      </c>
      <c r="AC50" s="7"/>
    </row>
    <row r="51" spans="1:29">
      <c r="A51" s="7"/>
      <c r="B51" s="4">
        <f>(1-e1_)*(1-e2_)*(1-e3_)</f>
        <v>0.73039677533498648</v>
      </c>
      <c r="C51" s="1" t="s">
        <v>16</v>
      </c>
      <c r="D51" s="4">
        <f t="shared" si="14"/>
        <v>8.091567590133789E-6</v>
      </c>
      <c r="E51" s="4">
        <f t="shared" si="14"/>
        <v>7.1176503945068981E-5</v>
      </c>
      <c r="F51" s="4">
        <f t="shared" si="14"/>
        <v>7.3420244542964734E-5</v>
      </c>
      <c r="G51" s="4">
        <f t="shared" si="14"/>
        <v>6.4583237637811709E-4</v>
      </c>
      <c r="H51" s="4">
        <f t="shared" si="14"/>
        <v>8.6842101421901881E-7</v>
      </c>
      <c r="I51" s="4">
        <f t="shared" si="14"/>
        <v>7.6389613083017926E-6</v>
      </c>
      <c r="J51" s="4">
        <f t="shared" si="14"/>
        <v>7.8797689718310322E-6</v>
      </c>
      <c r="K51" s="4">
        <f t="shared" si="14"/>
        <v>6.931344279860241E-5</v>
      </c>
      <c r="N51" s="1" t="s">
        <v>16</v>
      </c>
      <c r="O51">
        <f t="shared" si="16"/>
        <v>35.180804394732242</v>
      </c>
      <c r="P51">
        <f t="shared" si="15"/>
        <v>35.304204970782543</v>
      </c>
      <c r="Q51">
        <f t="shared" si="15"/>
        <v>101.15460355236188</v>
      </c>
      <c r="R51">
        <f t="shared" si="15"/>
        <v>26.462764182074682</v>
      </c>
      <c r="S51">
        <f t="shared" si="15"/>
        <v>106.92898185586861</v>
      </c>
      <c r="T51">
        <f t="shared" si="15"/>
        <v>33.048034616403413</v>
      </c>
      <c r="U51">
        <f t="shared" si="15"/>
        <v>142.80342868305311</v>
      </c>
      <c r="V51">
        <f t="shared" si="15"/>
        <v>19.656507896613</v>
      </c>
      <c r="W51" s="7">
        <f t="shared" si="17"/>
        <v>500.53933015188954</v>
      </c>
      <c r="AC51" s="7"/>
    </row>
    <row r="52" spans="1:29">
      <c r="A52" s="7"/>
      <c r="B52" s="4">
        <f>(e1_)*(e2_)*(e3_)</f>
        <v>9.8213086184355258E-4</v>
      </c>
      <c r="C52" s="1" t="s">
        <v>17</v>
      </c>
      <c r="D52" s="4">
        <f t="shared" si="14"/>
        <v>1.0880357799113617E-8</v>
      </c>
      <c r="E52" s="4">
        <f t="shared" si="14"/>
        <v>9.5707762579484034E-8</v>
      </c>
      <c r="F52" s="4">
        <f t="shared" si="14"/>
        <v>9.872481709229188E-8</v>
      </c>
      <c r="G52" s="4">
        <f t="shared" si="14"/>
        <v>8.6842101421901881E-7</v>
      </c>
      <c r="H52" s="4">
        <f t="shared" si="14"/>
        <v>1.1677256909394277E-9</v>
      </c>
      <c r="I52" s="4">
        <f t="shared" si="14"/>
        <v>1.0271759003688223E-8</v>
      </c>
      <c r="J52" s="4">
        <f t="shared" si="14"/>
        <v>1.0595561964088799E-8</v>
      </c>
      <c r="K52" s="4">
        <f t="shared" si="14"/>
        <v>9.3202590170135341E-8</v>
      </c>
      <c r="N52" s="1" t="s">
        <v>17</v>
      </c>
      <c r="O52">
        <f t="shared" si="16"/>
        <v>55.516193891625228</v>
      </c>
      <c r="P52">
        <f t="shared" si="15"/>
        <v>43.147046837064934</v>
      </c>
      <c r="Q52">
        <f t="shared" si="15"/>
        <v>143.68600943378937</v>
      </c>
      <c r="R52">
        <f t="shared" si="15"/>
        <v>114.28380970014626</v>
      </c>
      <c r="S52">
        <f t="shared" si="15"/>
        <v>123.54111347872514</v>
      </c>
      <c r="T52">
        <f t="shared" si="15"/>
        <v>108.848458683315</v>
      </c>
      <c r="U52">
        <f t="shared" si="15"/>
        <v>88.456096752756565</v>
      </c>
      <c r="V52">
        <f t="shared" si="15"/>
        <v>147.71353788109732</v>
      </c>
      <c r="W52" s="7">
        <f t="shared" si="17"/>
        <v>825.19226665851988</v>
      </c>
      <c r="AC52" s="7"/>
    </row>
    <row r="53" spans="1:29">
      <c r="A53" s="7"/>
      <c r="B53" s="4">
        <f>(e1_)*(e2_)*(1-e3_)</f>
        <v>8.6391963465543755E-3</v>
      </c>
      <c r="C53" s="1" t="s">
        <v>18</v>
      </c>
      <c r="D53" s="4">
        <f t="shared" si="14"/>
        <v>9.5707762579484034E-8</v>
      </c>
      <c r="E53" s="4">
        <f t="shared" si="14"/>
        <v>8.4188185601002143E-7</v>
      </c>
      <c r="F53" s="4">
        <f t="shared" si="14"/>
        <v>8.684210142190187E-7</v>
      </c>
      <c r="G53" s="4">
        <f t="shared" si="14"/>
        <v>7.6389613083017926E-6</v>
      </c>
      <c r="H53" s="4">
        <f t="shared" si="14"/>
        <v>1.0271759003688225E-8</v>
      </c>
      <c r="I53" s="4">
        <f t="shared" si="14"/>
        <v>9.0354296260253366E-8</v>
      </c>
      <c r="J53" s="4">
        <f t="shared" si="14"/>
        <v>9.3202590170135355E-8</v>
      </c>
      <c r="K53" s="4">
        <f t="shared" si="14"/>
        <v>8.1984540733788762E-7</v>
      </c>
      <c r="N53" s="1" t="s">
        <v>18</v>
      </c>
      <c r="O53">
        <f t="shared" si="16"/>
        <v>36.75745415197909</v>
      </c>
      <c r="P53">
        <f t="shared" si="15"/>
        <v>25.107686601889611</v>
      </c>
      <c r="Q53">
        <f t="shared" si="15"/>
        <v>112.61286822168385</v>
      </c>
      <c r="R53">
        <f t="shared" si="15"/>
        <v>38.958589948426265</v>
      </c>
      <c r="S53">
        <f t="shared" si="15"/>
        <v>108.99966889656545</v>
      </c>
      <c r="T53">
        <f t="shared" si="15"/>
        <v>28.263867543968285</v>
      </c>
      <c r="U53">
        <f t="shared" si="15"/>
        <v>120.11161388796688</v>
      </c>
      <c r="V53">
        <f t="shared" si="15"/>
        <v>54.20915205524625</v>
      </c>
      <c r="W53" s="7">
        <f t="shared" si="17"/>
        <v>525.02090130772558</v>
      </c>
      <c r="AC53" s="7"/>
    </row>
    <row r="54" spans="1:29">
      <c r="A54" s="7"/>
      <c r="B54" s="4">
        <f>(e1_)*(1-e2_)*(e3_)</f>
        <v>8.9115350328000022E-3</v>
      </c>
      <c r="C54" s="1" t="s">
        <v>19</v>
      </c>
      <c r="D54" s="4">
        <f t="shared" si="14"/>
        <v>9.8724817092291893E-8</v>
      </c>
      <c r="E54" s="4">
        <f t="shared" si="14"/>
        <v>8.6842101421901881E-7</v>
      </c>
      <c r="F54" s="4">
        <f t="shared" si="14"/>
        <v>8.9579678259298663E-7</v>
      </c>
      <c r="G54" s="4">
        <f t="shared" si="14"/>
        <v>7.8797689718310305E-6</v>
      </c>
      <c r="H54" s="4">
        <f t="shared" si="14"/>
        <v>1.0595561964088799E-8</v>
      </c>
      <c r="I54" s="4">
        <f t="shared" si="14"/>
        <v>9.3202590170135355E-8</v>
      </c>
      <c r="J54" s="4">
        <f t="shared" si="14"/>
        <v>9.6140672596256828E-8</v>
      </c>
      <c r="K54" s="4">
        <f t="shared" si="14"/>
        <v>8.4568989705688345E-7</v>
      </c>
      <c r="N54" s="1" t="s">
        <v>19</v>
      </c>
      <c r="O54">
        <f t="shared" si="16"/>
        <v>112.073283558375</v>
      </c>
      <c r="P54">
        <f t="shared" si="15"/>
        <v>109.07994741020185</v>
      </c>
      <c r="Q54">
        <f t="shared" si="15"/>
        <v>90.371725609947305</v>
      </c>
      <c r="R54">
        <f t="shared" si="15"/>
        <v>154.75802473366241</v>
      </c>
      <c r="S54">
        <f t="shared" si="15"/>
        <v>92.708515068570335</v>
      </c>
      <c r="T54">
        <f t="shared" si="15"/>
        <v>148.44027045151421</v>
      </c>
      <c r="U54">
        <f t="shared" si="15"/>
        <v>2107.1626572927876</v>
      </c>
      <c r="V54">
        <f t="shared" si="15"/>
        <v>3.0166786898413656</v>
      </c>
      <c r="W54" s="7">
        <f t="shared" si="17"/>
        <v>2817.6111028148998</v>
      </c>
      <c r="AC54" s="7"/>
    </row>
    <row r="55" spans="1:29">
      <c r="A55" s="7"/>
      <c r="B55" s="4">
        <f>(e1_)*(1-e2_)*(1-e3_)</f>
        <v>7.8389249221883117E-2</v>
      </c>
      <c r="C55" s="1" t="s">
        <v>20</v>
      </c>
      <c r="D55" s="4">
        <f t="shared" si="14"/>
        <v>8.6842101421901891E-7</v>
      </c>
      <c r="E55" s="4">
        <f t="shared" si="14"/>
        <v>7.6389613083017943E-6</v>
      </c>
      <c r="F55" s="4">
        <f t="shared" si="14"/>
        <v>7.8797689718310305E-6</v>
      </c>
      <c r="G55" s="4">
        <f t="shared" si="14"/>
        <v>6.931344279860241E-5</v>
      </c>
      <c r="H55" s="4">
        <f t="shared" si="14"/>
        <v>9.3202590170135341E-8</v>
      </c>
      <c r="I55" s="4">
        <f t="shared" si="14"/>
        <v>8.1984540733788762E-7</v>
      </c>
      <c r="J55" s="4">
        <f t="shared" si="14"/>
        <v>8.4568989705688355E-7</v>
      </c>
      <c r="K55" s="4">
        <f t="shared" si="14"/>
        <v>7.4390097621589524E-6</v>
      </c>
      <c r="N55" s="1" t="s">
        <v>20</v>
      </c>
      <c r="O55">
        <f t="shared" si="16"/>
        <v>98.271308633854375</v>
      </c>
      <c r="P55">
        <f t="shared" si="15"/>
        <v>41.637278684026015</v>
      </c>
      <c r="Q55">
        <f t="shared" si="15"/>
        <v>132.59063139535701</v>
      </c>
      <c r="R55">
        <f t="shared" si="15"/>
        <v>52.605895666954986</v>
      </c>
      <c r="S55">
        <f t="shared" si="15"/>
        <v>129.74588578584547</v>
      </c>
      <c r="T55">
        <f t="shared" si="15"/>
        <v>39.208953633850889</v>
      </c>
      <c r="U55">
        <f t="shared" si="15"/>
        <v>0.52031090055758411</v>
      </c>
      <c r="V55">
        <f t="shared" si="15"/>
        <v>10656.487724649916</v>
      </c>
      <c r="W55" s="7">
        <f t="shared" si="17"/>
        <v>11151.067989350362</v>
      </c>
      <c r="AC55" s="7"/>
    </row>
    <row r="56" spans="1:29">
      <c r="A56" s="7"/>
      <c r="O56" s="7">
        <f>SUM(O48:O55)</f>
        <v>41444.90954935296</v>
      </c>
      <c r="P56" s="7">
        <f t="shared" ref="P56:V56" si="18">SUM(P48:P55)</f>
        <v>1175.4195871621698</v>
      </c>
      <c r="Q56" s="7">
        <f t="shared" si="18"/>
        <v>789.56801284300957</v>
      </c>
      <c r="R56" s="7">
        <f t="shared" si="18"/>
        <v>547.99015605789339</v>
      </c>
      <c r="S56" s="7">
        <f t="shared" si="18"/>
        <v>777.68776279927897</v>
      </c>
      <c r="T56" s="7">
        <f t="shared" si="18"/>
        <v>527.03098740631913</v>
      </c>
      <c r="U56" s="7">
        <f t="shared" si="18"/>
        <v>2779.7515155081842</v>
      </c>
      <c r="V56" s="7">
        <f t="shared" si="18"/>
        <v>11188.084593889494</v>
      </c>
      <c r="W56" s="21">
        <f t="shared" si="17"/>
        <v>59230.442165019311</v>
      </c>
      <c r="X56" t="s">
        <v>64</v>
      </c>
      <c r="AC56" s="7"/>
    </row>
    <row r="57" spans="1:29">
      <c r="A57" s="7"/>
      <c r="C57" s="1" t="s">
        <v>29</v>
      </c>
      <c r="D57" s="4">
        <f>p_211*(ep1_)*(1-ep2_)*(1-ep3_)</f>
        <v>1.5624896084292261E-4</v>
      </c>
      <c r="E57" s="4">
        <f>p_211*(ep1_)*(1-ep2_)*(ep3_)</f>
        <v>1.776287057487972E-5</v>
      </c>
      <c r="F57" s="4">
        <f>p_211*(ep1_)*(ep2_)*(1-ep3_)</f>
        <v>1.7220032913521854E-5</v>
      </c>
      <c r="G57" s="4">
        <f>p_211*(ep1_)*(ep2_)*(ep3_)</f>
        <v>1.9576272014094007E-6</v>
      </c>
      <c r="H57" s="4">
        <f>p_211*(1-ep1_)*(1-ep2_)*(1-ep3_)</f>
        <v>1.4558595506646912E-3</v>
      </c>
      <c r="I57" s="4">
        <f>p_211*(1-ep1_)*(1-ep2_)*(ep3_)</f>
        <v>1.6550666727093826E-4</v>
      </c>
      <c r="J57" s="4">
        <f>p_211*(1-ep1_)*(ep2_)*(1-ep3_)</f>
        <v>1.6044874311269171E-4</v>
      </c>
      <c r="K57" s="4">
        <f>p_211*(1-ep1_)*(ep2_)*(ep3_)</f>
        <v>1.8240314959137602E-5</v>
      </c>
      <c r="X57">
        <f>_xlfn.CHISQ.DIST(W56,60,TRUE)</f>
        <v>1</v>
      </c>
      <c r="AC57" s="7"/>
    </row>
    <row r="58" spans="1:29">
      <c r="A58" s="7"/>
      <c r="C58" s="1"/>
      <c r="D58" s="1" t="s">
        <v>13</v>
      </c>
      <c r="E58" s="1" t="s">
        <v>14</v>
      </c>
      <c r="F58" s="1" t="s">
        <v>15</v>
      </c>
      <c r="G58" s="1" t="s">
        <v>16</v>
      </c>
      <c r="H58" s="1" t="s">
        <v>17</v>
      </c>
      <c r="I58" s="1" t="s">
        <v>18</v>
      </c>
      <c r="J58" s="1" t="s">
        <v>19</v>
      </c>
      <c r="K58" s="1" t="s">
        <v>20</v>
      </c>
      <c r="L58" s="1"/>
      <c r="X58">
        <f>1-X57</f>
        <v>0</v>
      </c>
      <c r="Y58" t="s">
        <v>65</v>
      </c>
      <c r="AC58" s="7"/>
    </row>
    <row r="59" spans="1:29">
      <c r="A59" s="7"/>
      <c r="B59" s="4">
        <f>(e1_)*(1-e2_)*(1-e3_)</f>
        <v>7.8389249221883117E-2</v>
      </c>
      <c r="C59" s="1" t="s">
        <v>13</v>
      </c>
      <c r="D59" s="4">
        <f t="shared" ref="D59:K66" si="19">row_211*col_211</f>
        <v>1.2248238732176118E-5</v>
      </c>
      <c r="E59" s="4">
        <f t="shared" si="19"/>
        <v>1.3924180883903007E-6</v>
      </c>
      <c r="F59" s="4">
        <f t="shared" si="19"/>
        <v>1.3498654516670947E-6</v>
      </c>
      <c r="G59" s="4">
        <f t="shared" si="19"/>
        <v>1.5345692657481908E-7</v>
      </c>
      <c r="H59" s="4">
        <f t="shared" si="19"/>
        <v>1.1412373714911325E-4</v>
      </c>
      <c r="I59" s="4">
        <f t="shared" si="19"/>
        <v>1.2973943388584866E-5</v>
      </c>
      <c r="J59" s="4">
        <f t="shared" si="19"/>
        <v>1.2577456511198693E-5</v>
      </c>
      <c r="K59" s="4">
        <f t="shared" si="19"/>
        <v>1.4298445952174803E-6</v>
      </c>
      <c r="N59" t="s">
        <v>113</v>
      </c>
      <c r="AC59" s="7"/>
    </row>
    <row r="60" spans="1:29">
      <c r="A60" s="7"/>
      <c r="B60" s="4">
        <f>(e1_)*(1-e2_)*(e3_)</f>
        <v>8.9115350328000022E-3</v>
      </c>
      <c r="C60" s="1" t="s">
        <v>14</v>
      </c>
      <c r="D60" s="4">
        <f t="shared" si="19"/>
        <v>1.3924180883903007E-6</v>
      </c>
      <c r="E60" s="4">
        <f t="shared" si="19"/>
        <v>1.5829444341113295E-7</v>
      </c>
      <c r="F60" s="4">
        <f t="shared" si="19"/>
        <v>1.534569265748191E-7</v>
      </c>
      <c r="G60" s="4">
        <f t="shared" si="19"/>
        <v>1.7445463386522102E-8</v>
      </c>
      <c r="H60" s="4">
        <f t="shared" si="19"/>
        <v>1.2973943388584866E-5</v>
      </c>
      <c r="I60" s="4">
        <f t="shared" si="19"/>
        <v>1.4749184635469398E-6</v>
      </c>
      <c r="J60" s="4">
        <f t="shared" si="19"/>
        <v>1.4298445952174803E-6</v>
      </c>
      <c r="K60" s="4">
        <f t="shared" si="19"/>
        <v>1.6254920576766068E-7</v>
      </c>
      <c r="P60" s="1" t="s">
        <v>13</v>
      </c>
      <c r="Q60" s="1" t="s">
        <v>14</v>
      </c>
      <c r="R60" s="1" t="s">
        <v>15</v>
      </c>
      <c r="S60" s="1" t="s">
        <v>16</v>
      </c>
      <c r="T60" s="1" t="s">
        <v>17</v>
      </c>
      <c r="U60" s="1" t="s">
        <v>18</v>
      </c>
      <c r="V60" s="1" t="s">
        <v>19</v>
      </c>
      <c r="W60" s="1" t="s">
        <v>20</v>
      </c>
      <c r="AC60" s="7"/>
    </row>
    <row r="61" spans="1:29">
      <c r="A61" s="7"/>
      <c r="B61" s="4">
        <f>(e1_)*(e2_)*(1-e3_)</f>
        <v>8.6391963465543755E-3</v>
      </c>
      <c r="C61" s="1" t="s">
        <v>15</v>
      </c>
      <c r="D61" s="4">
        <f t="shared" si="19"/>
        <v>1.3498654516670947E-6</v>
      </c>
      <c r="E61" s="4">
        <f t="shared" si="19"/>
        <v>1.534569265748191E-7</v>
      </c>
      <c r="F61" s="4">
        <f t="shared" si="19"/>
        <v>1.487672454340441E-7</v>
      </c>
      <c r="G61" s="4">
        <f t="shared" si="19"/>
        <v>1.6912325766331559E-8</v>
      </c>
      <c r="H61" s="4">
        <f t="shared" si="19"/>
        <v>1.2577456511198696E-5</v>
      </c>
      <c r="I61" s="4">
        <f t="shared" si="19"/>
        <v>1.4298445952174805E-6</v>
      </c>
      <c r="J61" s="4">
        <f t="shared" si="19"/>
        <v>1.3861481953084076E-6</v>
      </c>
      <c r="K61" s="4">
        <f t="shared" si="19"/>
        <v>1.575816623549827E-7</v>
      </c>
      <c r="P61">
        <f t="shared" ref="P61:W61" si="20">D12</f>
        <v>2361</v>
      </c>
      <c r="Q61">
        <f t="shared" si="20"/>
        <v>320</v>
      </c>
      <c r="R61">
        <f t="shared" si="20"/>
        <v>562</v>
      </c>
      <c r="S61">
        <f t="shared" si="20"/>
        <v>342</v>
      </c>
      <c r="T61">
        <f t="shared" si="20"/>
        <v>572</v>
      </c>
      <c r="U61">
        <f t="shared" si="20"/>
        <v>335</v>
      </c>
      <c r="V61">
        <f t="shared" si="20"/>
        <v>2789</v>
      </c>
      <c r="W61">
        <f t="shared" si="20"/>
        <v>2719</v>
      </c>
      <c r="AC61" s="7"/>
    </row>
    <row r="62" spans="1:29">
      <c r="A62" s="7"/>
      <c r="B62" s="4">
        <f>(e1_)*(e2_)*(e3_)</f>
        <v>9.8213086184355258E-4</v>
      </c>
      <c r="C62" s="1" t="s">
        <v>16</v>
      </c>
      <c r="D62" s="4">
        <f t="shared" si="19"/>
        <v>1.5345692657481908E-7</v>
      </c>
      <c r="E62" s="4">
        <f t="shared" si="19"/>
        <v>1.7445463386522098E-8</v>
      </c>
      <c r="F62" s="4">
        <f t="shared" si="19"/>
        <v>1.6912325766331559E-8</v>
      </c>
      <c r="G62" s="4">
        <f t="shared" si="19"/>
        <v>1.9226460904885965E-9</v>
      </c>
      <c r="H62" s="4">
        <f t="shared" si="19"/>
        <v>1.4298445952174805E-6</v>
      </c>
      <c r="I62" s="4">
        <f t="shared" si="19"/>
        <v>1.625492057676607E-7</v>
      </c>
      <c r="J62" s="4">
        <f t="shared" si="19"/>
        <v>1.5758166235498267E-7</v>
      </c>
      <c r="K62" s="4">
        <f t="shared" si="19"/>
        <v>1.7914376251115657E-8</v>
      </c>
      <c r="N62" s="1" t="s">
        <v>13</v>
      </c>
      <c r="O62" s="41">
        <f t="shared" ref="O62:O69" si="21">L4</f>
        <v>2418</v>
      </c>
      <c r="P62" s="8">
        <f t="shared" ref="P62:W69" si="22">ROW__*COL__/($O$70)</f>
        <v>570.88980000000004</v>
      </c>
      <c r="Q62" s="8">
        <f t="shared" si="22"/>
        <v>77.376000000000005</v>
      </c>
      <c r="R62" s="8">
        <f t="shared" si="22"/>
        <v>135.89160000000001</v>
      </c>
      <c r="S62" s="8">
        <f t="shared" si="22"/>
        <v>82.695599999999999</v>
      </c>
      <c r="T62" s="8">
        <f t="shared" si="22"/>
        <v>138.30959999999999</v>
      </c>
      <c r="U62" s="8">
        <f t="shared" si="22"/>
        <v>81.003</v>
      </c>
      <c r="V62" s="8">
        <f t="shared" si="22"/>
        <v>674.38019999999995</v>
      </c>
      <c r="W62" s="8">
        <f t="shared" si="22"/>
        <v>657.45420000000001</v>
      </c>
      <c r="AC62" s="7"/>
    </row>
    <row r="63" spans="1:29">
      <c r="A63" s="7"/>
      <c r="B63" s="4">
        <f>(1-e1_)*(1-e2_)*(1-e3_)</f>
        <v>0.73039677533498648</v>
      </c>
      <c r="C63" s="1" t="s">
        <v>17</v>
      </c>
      <c r="D63" s="4">
        <f t="shared" si="19"/>
        <v>1.1412373714911325E-4</v>
      </c>
      <c r="E63" s="4">
        <f t="shared" si="19"/>
        <v>1.2973943388584864E-5</v>
      </c>
      <c r="F63" s="4">
        <f t="shared" si="19"/>
        <v>1.2577456511198694E-5</v>
      </c>
      <c r="G63" s="4">
        <f t="shared" si="19"/>
        <v>1.4298445952174803E-6</v>
      </c>
      <c r="H63" s="4">
        <f t="shared" si="19"/>
        <v>1.0633551211461328E-3</v>
      </c>
      <c r="I63" s="4">
        <f t="shared" si="19"/>
        <v>1.2088553607113386E-4</v>
      </c>
      <c r="J63" s="4">
        <f t="shared" si="19"/>
        <v>1.1719124457606164E-4</v>
      </c>
      <c r="K63" s="4">
        <f t="shared" si="19"/>
        <v>1.3322667227248621E-5</v>
      </c>
      <c r="N63" s="1" t="s">
        <v>14</v>
      </c>
      <c r="O63" s="41">
        <f t="shared" si="21"/>
        <v>290</v>
      </c>
      <c r="P63" s="8">
        <f t="shared" si="22"/>
        <v>68.468999999999994</v>
      </c>
      <c r="Q63" s="8">
        <f t="shared" si="22"/>
        <v>9.2799999999999994</v>
      </c>
      <c r="R63" s="8">
        <f t="shared" si="22"/>
        <v>16.297999999999998</v>
      </c>
      <c r="S63" s="8">
        <f t="shared" si="22"/>
        <v>9.9179999999999993</v>
      </c>
      <c r="T63" s="8">
        <f t="shared" si="22"/>
        <v>16.588000000000001</v>
      </c>
      <c r="U63" s="8">
        <f t="shared" si="22"/>
        <v>9.7149999999999999</v>
      </c>
      <c r="V63" s="8">
        <f t="shared" si="22"/>
        <v>80.881</v>
      </c>
      <c r="W63" s="8">
        <f t="shared" si="22"/>
        <v>78.850999999999999</v>
      </c>
      <c r="AC63" s="7"/>
    </row>
    <row r="64" spans="1:29">
      <c r="A64" s="7"/>
      <c r="B64" s="4">
        <f>(1-e1_)*(1-e2_)*(e3_)</f>
        <v>8.3033789911906006E-2</v>
      </c>
      <c r="C64" s="1" t="s">
        <v>18</v>
      </c>
      <c r="D64" s="4">
        <f t="shared" si="19"/>
        <v>1.2973943388584864E-5</v>
      </c>
      <c r="E64" s="4">
        <f t="shared" si="19"/>
        <v>1.4749184635469398E-6</v>
      </c>
      <c r="F64" s="4">
        <f t="shared" si="19"/>
        <v>1.4298445952174803E-6</v>
      </c>
      <c r="G64" s="4">
        <f t="shared" si="19"/>
        <v>1.6254920576766068E-7</v>
      </c>
      <c r="H64" s="4">
        <f t="shared" si="19"/>
        <v>1.2088553607113385E-4</v>
      </c>
      <c r="I64" s="4">
        <f t="shared" si="19"/>
        <v>1.3742645839194817E-5</v>
      </c>
      <c r="J64" s="4">
        <f t="shared" si="19"/>
        <v>1.332266722724862E-5</v>
      </c>
      <c r="K64" s="4">
        <f t="shared" si="19"/>
        <v>1.514562480244028E-6</v>
      </c>
      <c r="N64" s="1" t="s">
        <v>15</v>
      </c>
      <c r="O64" s="41">
        <f t="shared" si="21"/>
        <v>533</v>
      </c>
      <c r="P64" s="8">
        <f t="shared" si="22"/>
        <v>125.8413</v>
      </c>
      <c r="Q64" s="8">
        <f t="shared" si="22"/>
        <v>17.056000000000001</v>
      </c>
      <c r="R64" s="8">
        <f t="shared" si="22"/>
        <v>29.954599999999999</v>
      </c>
      <c r="S64" s="8">
        <f t="shared" si="22"/>
        <v>18.2286</v>
      </c>
      <c r="T64" s="8">
        <f t="shared" si="22"/>
        <v>30.4876</v>
      </c>
      <c r="U64" s="8">
        <f t="shared" si="22"/>
        <v>17.855499999999999</v>
      </c>
      <c r="V64" s="8">
        <f t="shared" si="22"/>
        <v>148.65369999999999</v>
      </c>
      <c r="W64" s="8">
        <f t="shared" si="22"/>
        <v>144.92269999999999</v>
      </c>
      <c r="AC64" s="7"/>
    </row>
    <row r="65" spans="1:29">
      <c r="A65" s="7"/>
      <c r="B65" s="4">
        <f>(1-e1_)*(e2_)*(1-e3_)</f>
        <v>8.0496257020504836E-2</v>
      </c>
      <c r="C65" s="1" t="s">
        <v>19</v>
      </c>
      <c r="D65" s="4">
        <f t="shared" si="19"/>
        <v>1.2577456511198694E-5</v>
      </c>
      <c r="E65" s="4">
        <f t="shared" si="19"/>
        <v>1.4298445952174805E-6</v>
      </c>
      <c r="F65" s="4">
        <f t="shared" si="19"/>
        <v>1.3861481953084078E-6</v>
      </c>
      <c r="G65" s="4">
        <f t="shared" si="19"/>
        <v>1.575816623549827E-7</v>
      </c>
      <c r="H65" s="4">
        <f t="shared" si="19"/>
        <v>1.1719124457606167E-4</v>
      </c>
      <c r="I65" s="4">
        <f t="shared" si="19"/>
        <v>1.3322667227248621E-5</v>
      </c>
      <c r="J65" s="4">
        <f t="shared" si="19"/>
        <v>1.2915523264216186E-5</v>
      </c>
      <c r="K65" s="4">
        <f t="shared" si="19"/>
        <v>1.4682770810856996E-6</v>
      </c>
      <c r="N65" s="1" t="s">
        <v>16</v>
      </c>
      <c r="O65" s="41">
        <f t="shared" si="21"/>
        <v>297</v>
      </c>
      <c r="P65" s="8">
        <f t="shared" si="22"/>
        <v>70.121700000000004</v>
      </c>
      <c r="Q65" s="8">
        <f t="shared" si="22"/>
        <v>9.5039999999999996</v>
      </c>
      <c r="R65" s="8">
        <f t="shared" si="22"/>
        <v>16.691400000000002</v>
      </c>
      <c r="S65" s="8">
        <f t="shared" si="22"/>
        <v>10.157400000000001</v>
      </c>
      <c r="T65" s="8">
        <f t="shared" si="22"/>
        <v>16.988399999999999</v>
      </c>
      <c r="U65" s="8">
        <f t="shared" si="22"/>
        <v>9.9495000000000005</v>
      </c>
      <c r="V65" s="8">
        <f t="shared" si="22"/>
        <v>82.833299999999994</v>
      </c>
      <c r="W65" s="8">
        <f t="shared" si="22"/>
        <v>80.754300000000001</v>
      </c>
      <c r="AC65" s="7"/>
    </row>
    <row r="66" spans="1:29">
      <c r="A66" s="7"/>
      <c r="B66" s="4">
        <f>(1-e1_)*(e2_)*(e3_)</f>
        <v>9.1510662695216648E-3</v>
      </c>
      <c r="C66" s="1" t="s">
        <v>20</v>
      </c>
      <c r="D66" s="4">
        <f t="shared" si="19"/>
        <v>1.4298445952174805E-6</v>
      </c>
      <c r="E66" s="4">
        <f t="shared" si="19"/>
        <v>1.625492057676607E-7</v>
      </c>
      <c r="F66" s="4">
        <f t="shared" si="19"/>
        <v>1.5758166235498273E-7</v>
      </c>
      <c r="G66" s="4">
        <f t="shared" si="19"/>
        <v>1.7914376251115661E-8</v>
      </c>
      <c r="H66" s="4">
        <f t="shared" si="19"/>
        <v>1.3322667227248623E-5</v>
      </c>
      <c r="I66" s="4">
        <f t="shared" si="19"/>
        <v>1.5145624802440284E-6</v>
      </c>
      <c r="J66" s="4">
        <f t="shared" si="19"/>
        <v>1.4682770810856996E-6</v>
      </c>
      <c r="K66" s="4">
        <f t="shared" si="19"/>
        <v>1.6691833096801556E-7</v>
      </c>
      <c r="N66" s="1" t="s">
        <v>17</v>
      </c>
      <c r="O66" s="41">
        <f t="shared" si="21"/>
        <v>576</v>
      </c>
      <c r="P66" s="8">
        <f t="shared" si="22"/>
        <v>135.99359999999999</v>
      </c>
      <c r="Q66" s="8">
        <f t="shared" si="22"/>
        <v>18.431999999999999</v>
      </c>
      <c r="R66" s="8">
        <f t="shared" si="22"/>
        <v>32.371200000000002</v>
      </c>
      <c r="S66" s="8">
        <f t="shared" si="22"/>
        <v>19.699200000000001</v>
      </c>
      <c r="T66" s="8">
        <f t="shared" si="22"/>
        <v>32.947200000000002</v>
      </c>
      <c r="U66" s="8">
        <f t="shared" si="22"/>
        <v>19.295999999999999</v>
      </c>
      <c r="V66" s="8">
        <f t="shared" si="22"/>
        <v>160.6464</v>
      </c>
      <c r="W66" s="8">
        <f t="shared" si="22"/>
        <v>156.61439999999999</v>
      </c>
      <c r="AC66" s="7"/>
    </row>
    <row r="67" spans="1:29">
      <c r="A67" s="7"/>
      <c r="N67" s="1" t="s">
        <v>18</v>
      </c>
      <c r="O67" s="41">
        <f t="shared" si="21"/>
        <v>365</v>
      </c>
      <c r="P67" s="8">
        <f t="shared" si="22"/>
        <v>86.176500000000004</v>
      </c>
      <c r="Q67" s="8">
        <f t="shared" si="22"/>
        <v>11.68</v>
      </c>
      <c r="R67" s="8">
        <f t="shared" si="22"/>
        <v>20.513000000000002</v>
      </c>
      <c r="S67" s="8">
        <f t="shared" si="22"/>
        <v>12.483000000000001</v>
      </c>
      <c r="T67" s="8">
        <f t="shared" si="22"/>
        <v>20.878</v>
      </c>
      <c r="U67" s="8">
        <f t="shared" si="22"/>
        <v>12.227499999999999</v>
      </c>
      <c r="V67" s="8">
        <f t="shared" si="22"/>
        <v>101.7985</v>
      </c>
      <c r="W67" s="8">
        <f t="shared" si="22"/>
        <v>99.243499999999997</v>
      </c>
      <c r="AC67" s="7"/>
    </row>
    <row r="68" spans="1:29">
      <c r="A68" s="7"/>
      <c r="C68" s="1" t="s">
        <v>30</v>
      </c>
      <c r="D68" s="4">
        <f>p_212*(ep1_)*(1-ep2_)*(ep3_)</f>
        <v>1.238394687743727E-5</v>
      </c>
      <c r="E68" s="4">
        <f>p_212*(ep1_)*(1-ep2_)*(1-ep3_)</f>
        <v>1.0893390359269857E-4</v>
      </c>
      <c r="F68" s="4">
        <f>p_212*(ep1_)*(ep2_)*(ep3_)</f>
        <v>1.3648217029946113E-6</v>
      </c>
      <c r="G68" s="4">
        <f>p_212*(ep1_)*(ep2_)*(1-ep3_)</f>
        <v>1.2005490437472266E-5</v>
      </c>
      <c r="H68" s="4">
        <f>p_212*(1-ep1_)*(1-ep2_)*(ep3_)</f>
        <v>1.1538820635464004E-4</v>
      </c>
      <c r="I68" s="4">
        <f>p_212*(1-ep1_)*(1-ep2_)*(1-ep3_)</f>
        <v>1.014998519548877E-3</v>
      </c>
      <c r="J68" s="4">
        <f>p_212*(1-ep1_)*(ep2_)*(ep3_)</f>
        <v>1.2716812326557979E-5</v>
      </c>
      <c r="K68" s="4">
        <f>p_212*(1-ep1_)*(ep2_)*(1-ep3_)</f>
        <v>1.1186191459781032E-4</v>
      </c>
      <c r="N68" s="1" t="s">
        <v>19</v>
      </c>
      <c r="O68" s="41">
        <f t="shared" si="21"/>
        <v>2823</v>
      </c>
      <c r="P68" s="8">
        <f t="shared" si="22"/>
        <v>666.51030000000003</v>
      </c>
      <c r="Q68" s="8">
        <f t="shared" si="22"/>
        <v>90.335999999999999</v>
      </c>
      <c r="R68" s="8">
        <f t="shared" si="22"/>
        <v>158.65260000000001</v>
      </c>
      <c r="S68" s="8">
        <f t="shared" si="22"/>
        <v>96.546599999999998</v>
      </c>
      <c r="T68" s="8">
        <f t="shared" si="22"/>
        <v>161.47559999999999</v>
      </c>
      <c r="U68" s="8">
        <f t="shared" si="22"/>
        <v>94.570499999999996</v>
      </c>
      <c r="V68" s="8">
        <f t="shared" si="22"/>
        <v>787.3347</v>
      </c>
      <c r="W68" s="8">
        <f t="shared" si="22"/>
        <v>767.57370000000003</v>
      </c>
      <c r="AC68" s="7"/>
    </row>
    <row r="69" spans="1:29">
      <c r="A69" s="7"/>
      <c r="C69" s="1"/>
      <c r="D69" s="1" t="s">
        <v>13</v>
      </c>
      <c r="E69" s="1" t="s">
        <v>14</v>
      </c>
      <c r="F69" s="1" t="s">
        <v>15</v>
      </c>
      <c r="G69" s="1" t="s">
        <v>16</v>
      </c>
      <c r="H69" s="1" t="s">
        <v>17</v>
      </c>
      <c r="I69" s="1" t="s">
        <v>18</v>
      </c>
      <c r="J69" s="1" t="s">
        <v>19</v>
      </c>
      <c r="K69" s="1" t="s">
        <v>20</v>
      </c>
      <c r="L69" s="1"/>
      <c r="N69" s="1" t="s">
        <v>20</v>
      </c>
      <c r="O69" s="42">
        <f t="shared" si="21"/>
        <v>2698</v>
      </c>
      <c r="P69" s="8">
        <f t="shared" si="22"/>
        <v>636.99779999999998</v>
      </c>
      <c r="Q69" s="8">
        <f t="shared" si="22"/>
        <v>86.335999999999999</v>
      </c>
      <c r="R69" s="8">
        <f t="shared" si="22"/>
        <v>151.6276</v>
      </c>
      <c r="S69" s="8">
        <f t="shared" si="22"/>
        <v>92.271600000000007</v>
      </c>
      <c r="T69" s="8">
        <f t="shared" si="22"/>
        <v>154.32560000000001</v>
      </c>
      <c r="U69" s="8">
        <f t="shared" si="22"/>
        <v>90.382999999999996</v>
      </c>
      <c r="V69" s="8">
        <f t="shared" si="22"/>
        <v>752.47220000000004</v>
      </c>
      <c r="W69" s="8">
        <f t="shared" si="22"/>
        <v>733.58619999999996</v>
      </c>
      <c r="AC69" s="7"/>
    </row>
    <row r="70" spans="1:29">
      <c r="A70" s="7"/>
      <c r="B70" s="4">
        <f>(e1_)*(1-e2_)*(e3_)</f>
        <v>8.9115350328000022E-3</v>
      </c>
      <c r="C70" s="1" t="s">
        <v>13</v>
      </c>
      <c r="D70" s="4">
        <f t="shared" ref="D70:K77" si="23">row_212*col_212</f>
        <v>1.1035997644261643E-7</v>
      </c>
      <c r="E70" s="4">
        <f t="shared" si="23"/>
        <v>9.7076829812599136E-7</v>
      </c>
      <c r="F70" s="4">
        <f t="shared" si="23"/>
        <v>1.2162656419762239E-8</v>
      </c>
      <c r="G70" s="4">
        <f t="shared" si="23"/>
        <v>1.0698734861947953E-7</v>
      </c>
      <c r="H70" s="4">
        <f t="shared" si="23"/>
        <v>1.0282860433013305E-6</v>
      </c>
      <c r="I70" s="4">
        <f t="shared" si="23"/>
        <v>9.0451948651999554E-6</v>
      </c>
      <c r="J70" s="4">
        <f t="shared" si="23"/>
        <v>1.1332631855366432E-7</v>
      </c>
      <c r="K70" s="4">
        <f t="shared" si="23"/>
        <v>9.9686137077446868E-7</v>
      </c>
      <c r="O70" s="41">
        <f>SUM(O62:O69)</f>
        <v>10000</v>
      </c>
      <c r="AC70" s="7"/>
    </row>
    <row r="71" spans="1:29">
      <c r="A71" s="7"/>
      <c r="B71" s="4">
        <f>(e1_)*(1-e2_)*(1-e3_)</f>
        <v>7.8389249221883117E-2</v>
      </c>
      <c r="C71" s="1" t="s">
        <v>14</v>
      </c>
      <c r="D71" s="4">
        <f t="shared" si="23"/>
        <v>9.7076829812599136E-7</v>
      </c>
      <c r="E71" s="4">
        <f t="shared" si="23"/>
        <v>8.5392469174406369E-6</v>
      </c>
      <c r="F71" s="4">
        <f t="shared" si="23"/>
        <v>1.0698734861947953E-7</v>
      </c>
      <c r="G71" s="4">
        <f t="shared" si="23"/>
        <v>9.4110138193394807E-7</v>
      </c>
      <c r="H71" s="4">
        <f t="shared" si="23"/>
        <v>9.0451948651999554E-6</v>
      </c>
      <c r="I71" s="4">
        <f t="shared" si="23"/>
        <v>7.9564971908759323E-5</v>
      </c>
      <c r="J71" s="4">
        <f t="shared" si="23"/>
        <v>9.9686137077446868E-7</v>
      </c>
      <c r="K71" s="4">
        <f t="shared" si="23"/>
        <v>8.7687715018447583E-6</v>
      </c>
      <c r="N71" s="1" t="s">
        <v>114</v>
      </c>
      <c r="AC71" s="7"/>
    </row>
    <row r="72" spans="1:29">
      <c r="A72" s="7"/>
      <c r="B72" s="4">
        <f>(e1_)*(e2_)*(e3_)</f>
        <v>9.8213086184355258E-4</v>
      </c>
      <c r="C72" s="1" t="s">
        <v>15</v>
      </c>
      <c r="D72" s="4">
        <f t="shared" si="23"/>
        <v>1.2162656419762239E-8</v>
      </c>
      <c r="E72" s="4">
        <f t="shared" si="23"/>
        <v>1.0698734861947951E-7</v>
      </c>
      <c r="F72" s="4">
        <f t="shared" si="23"/>
        <v>1.3404335154248827E-9</v>
      </c>
      <c r="G72" s="4">
        <f t="shared" si="23"/>
        <v>1.1790962670209166E-8</v>
      </c>
      <c r="H72" s="4">
        <f t="shared" si="23"/>
        <v>1.1332631855366431E-7</v>
      </c>
      <c r="I72" s="4">
        <f t="shared" si="23"/>
        <v>9.9686137077446847E-7</v>
      </c>
      <c r="J72" s="4">
        <f t="shared" si="23"/>
        <v>1.24895738501851E-8</v>
      </c>
      <c r="K72" s="4">
        <f t="shared" si="23"/>
        <v>1.0986303859141733E-7</v>
      </c>
      <c r="P72" s="1" t="s">
        <v>13</v>
      </c>
      <c r="Q72" s="1" t="s">
        <v>14</v>
      </c>
      <c r="R72" s="1" t="s">
        <v>15</v>
      </c>
      <c r="S72" s="1" t="s">
        <v>16</v>
      </c>
      <c r="T72" s="1" t="s">
        <v>17</v>
      </c>
      <c r="U72" s="1" t="s">
        <v>18</v>
      </c>
      <c r="V72" s="1" t="s">
        <v>19</v>
      </c>
      <c r="W72" s="1" t="s">
        <v>20</v>
      </c>
      <c r="X72" s="1" t="s">
        <v>98</v>
      </c>
      <c r="AC72" s="7"/>
    </row>
    <row r="73" spans="1:29">
      <c r="A73" s="7"/>
      <c r="B73" s="4">
        <f>(e1_)*(e2_)*(1-e3_)</f>
        <v>8.6391963465543755E-3</v>
      </c>
      <c r="C73" s="1" t="s">
        <v>16</v>
      </c>
      <c r="D73" s="4">
        <f t="shared" si="23"/>
        <v>1.0698734861947953E-7</v>
      </c>
      <c r="E73" s="4">
        <f t="shared" si="23"/>
        <v>9.4110138193394807E-7</v>
      </c>
      <c r="F73" s="4">
        <f t="shared" si="23"/>
        <v>1.1790962670209167E-8</v>
      </c>
      <c r="G73" s="4">
        <f t="shared" si="23"/>
        <v>1.037177891260039E-7</v>
      </c>
      <c r="H73" s="4">
        <f t="shared" si="23"/>
        <v>9.9686137077446868E-7</v>
      </c>
      <c r="I73" s="4">
        <f t="shared" si="23"/>
        <v>8.7687715018447583E-6</v>
      </c>
      <c r="J73" s="4">
        <f t="shared" si="23"/>
        <v>1.0986303859141733E-7</v>
      </c>
      <c r="K73" s="4">
        <f t="shared" si="23"/>
        <v>9.6639704391198041E-7</v>
      </c>
      <c r="O73" s="1" t="s">
        <v>13</v>
      </c>
      <c r="P73" s="8">
        <f>POWER(D4-P62,2)/P62</f>
        <v>2256.9595150308169</v>
      </c>
      <c r="Q73" s="8">
        <f t="shared" ref="Q73:W80" si="24">POWER(E4-Q62,2)/Q62</f>
        <v>285.47732340777497</v>
      </c>
      <c r="R73" s="8">
        <f t="shared" si="24"/>
        <v>28.386253091140279</v>
      </c>
      <c r="S73" s="8">
        <f t="shared" si="24"/>
        <v>41.660904079056202</v>
      </c>
      <c r="T73" s="8">
        <f t="shared" si="24"/>
        <v>27.515844541232145</v>
      </c>
      <c r="U73" s="8">
        <f t="shared" si="24"/>
        <v>47.459625063269264</v>
      </c>
      <c r="V73" s="8">
        <f t="shared" si="24"/>
        <v>602.41021215041599</v>
      </c>
      <c r="W73" s="8">
        <f t="shared" si="24"/>
        <v>641.55154518389259</v>
      </c>
      <c r="X73" s="7">
        <f>SUM(P73:W73)</f>
        <v>3931.4212225475985</v>
      </c>
      <c r="AC73" s="7"/>
    </row>
    <row r="74" spans="1:29">
      <c r="A74" s="7"/>
      <c r="B74" s="4">
        <f>(1-e1_)*(1-e2_)*(e3_)</f>
        <v>8.3033789911906006E-2</v>
      </c>
      <c r="C74" s="1" t="s">
        <v>17</v>
      </c>
      <c r="D74" s="4">
        <f t="shared" si="23"/>
        <v>1.0282860433013308E-6</v>
      </c>
      <c r="E74" s="4">
        <f t="shared" si="23"/>
        <v>9.0451948651999554E-6</v>
      </c>
      <c r="F74" s="4">
        <f t="shared" si="23"/>
        <v>1.1332631855366432E-7</v>
      </c>
      <c r="G74" s="4">
        <f t="shared" si="23"/>
        <v>9.9686137077446868E-7</v>
      </c>
      <c r="H74" s="4">
        <f t="shared" si="23"/>
        <v>9.5811200847628379E-6</v>
      </c>
      <c r="I74" s="4">
        <f t="shared" si="23"/>
        <v>8.4279173833117074E-5</v>
      </c>
      <c r="J74" s="4">
        <f t="shared" si="23"/>
        <v>1.0559251230725519E-6</v>
      </c>
      <c r="K74" s="4">
        <f t="shared" si="23"/>
        <v>9.2883187158581535E-6</v>
      </c>
      <c r="O74" s="1" t="s">
        <v>14</v>
      </c>
      <c r="P74" s="8">
        <f t="shared" ref="P74:P80" si="25">POWER(D5-P63,2)/P63</f>
        <v>172.0337373263813</v>
      </c>
      <c r="Q74" s="8">
        <f t="shared" si="24"/>
        <v>10.180862068965519</v>
      </c>
      <c r="R74" s="8">
        <f t="shared" si="24"/>
        <v>13.262290096944414</v>
      </c>
      <c r="S74" s="8">
        <f t="shared" si="24"/>
        <v>8.4969147005444515E-2</v>
      </c>
      <c r="T74" s="8">
        <f t="shared" si="24"/>
        <v>4.2658394019773311</v>
      </c>
      <c r="U74" s="8">
        <f t="shared" si="24"/>
        <v>2.2883401955738547</v>
      </c>
      <c r="V74" s="8">
        <f t="shared" si="24"/>
        <v>63.882471297338057</v>
      </c>
      <c r="W74" s="8">
        <f t="shared" si="24"/>
        <v>51.704483151767256</v>
      </c>
      <c r="X74" s="7">
        <f t="shared" ref="X74:X80" si="26">SUM(P74:W74)</f>
        <v>317.70299268595318</v>
      </c>
      <c r="AC74" s="7"/>
    </row>
    <row r="75" spans="1:29">
      <c r="A75" s="7"/>
      <c r="B75" s="4">
        <f>(1-e1_)*(1-e2_)*(1-e3_)</f>
        <v>0.73039677533498648</v>
      </c>
      <c r="C75" s="1" t="s">
        <v>18</v>
      </c>
      <c r="D75" s="4">
        <f t="shared" si="23"/>
        <v>9.0451948651999571E-6</v>
      </c>
      <c r="E75" s="4">
        <f t="shared" si="23"/>
        <v>7.9564971908759337E-5</v>
      </c>
      <c r="F75" s="4">
        <f t="shared" si="23"/>
        <v>9.9686137077446868E-7</v>
      </c>
      <c r="G75" s="4">
        <f t="shared" si="23"/>
        <v>8.76877150184476E-6</v>
      </c>
      <c r="H75" s="4">
        <f t="shared" si="23"/>
        <v>8.4279173833117088E-5</v>
      </c>
      <c r="I75" s="4">
        <f t="shared" si="23"/>
        <v>7.4135164564828506E-4</v>
      </c>
      <c r="J75" s="4">
        <f t="shared" si="23"/>
        <v>9.2883187158581552E-6</v>
      </c>
      <c r="K75" s="4">
        <f t="shared" si="23"/>
        <v>8.1703581705038305E-5</v>
      </c>
      <c r="O75" s="1" t="s">
        <v>15</v>
      </c>
      <c r="P75" s="8">
        <f t="shared" si="25"/>
        <v>14.801765284449537</v>
      </c>
      <c r="Q75" s="8">
        <f t="shared" si="24"/>
        <v>2.0714784240150084</v>
      </c>
      <c r="R75" s="8">
        <f t="shared" si="24"/>
        <v>2.7314422879958342</v>
      </c>
      <c r="S75" s="8">
        <f t="shared" si="24"/>
        <v>5.7395662837519064</v>
      </c>
      <c r="T75" s="8">
        <f t="shared" si="24"/>
        <v>3.6247705217859063</v>
      </c>
      <c r="U75" s="8">
        <f t="shared" si="24"/>
        <v>2.6321234493573402</v>
      </c>
      <c r="V75" s="8">
        <f t="shared" si="24"/>
        <v>22.122544704168156</v>
      </c>
      <c r="W75" s="8">
        <f t="shared" si="24"/>
        <v>81.865398417846194</v>
      </c>
      <c r="X75" s="7">
        <f t="shared" si="26"/>
        <v>135.58908937336989</v>
      </c>
      <c r="AC75" s="7"/>
    </row>
    <row r="76" spans="1:29">
      <c r="A76" s="7"/>
      <c r="B76" s="4">
        <f>(1-e1_)*(e2_)*(e3_)</f>
        <v>9.1510662695216648E-3</v>
      </c>
      <c r="C76" s="1" t="s">
        <v>19</v>
      </c>
      <c r="D76" s="4">
        <f t="shared" si="23"/>
        <v>1.1332631855366435E-7</v>
      </c>
      <c r="E76" s="4">
        <f t="shared" si="23"/>
        <v>9.9686137077446889E-7</v>
      </c>
      <c r="F76" s="4">
        <f t="shared" si="23"/>
        <v>1.2489573850185103E-8</v>
      </c>
      <c r="G76" s="4">
        <f t="shared" si="23"/>
        <v>1.0986303859141734E-7</v>
      </c>
      <c r="H76" s="4">
        <f t="shared" si="23"/>
        <v>1.0559251230725519E-6</v>
      </c>
      <c r="I76" s="4">
        <f t="shared" si="23"/>
        <v>9.2883187158581552E-6</v>
      </c>
      <c r="J76" s="4">
        <f t="shared" si="23"/>
        <v>1.1637239233740205E-7</v>
      </c>
      <c r="K76" s="4">
        <f t="shared" si="23"/>
        <v>1.0236557935201351E-6</v>
      </c>
      <c r="O76" s="1" t="s">
        <v>16</v>
      </c>
      <c r="P76" s="8">
        <f t="shared" si="25"/>
        <v>38.742238292711107</v>
      </c>
      <c r="Q76" s="8">
        <f t="shared" si="24"/>
        <v>5.92487542087542</v>
      </c>
      <c r="R76" s="8">
        <f t="shared" si="24"/>
        <v>3.5441984471044981</v>
      </c>
      <c r="S76" s="8">
        <f t="shared" si="24"/>
        <v>27.927734928229658</v>
      </c>
      <c r="T76" s="8">
        <f t="shared" si="24"/>
        <v>7.1074930281839368</v>
      </c>
      <c r="U76" s="8">
        <f t="shared" si="24"/>
        <v>14.595160585959093</v>
      </c>
      <c r="V76" s="8">
        <f t="shared" si="24"/>
        <v>24.265902588572466</v>
      </c>
      <c r="W76" s="8">
        <f t="shared" si="24"/>
        <v>109.99107129267419</v>
      </c>
      <c r="X76" s="7">
        <f t="shared" si="26"/>
        <v>232.0986745843104</v>
      </c>
      <c r="AC76" s="7"/>
    </row>
    <row r="77" spans="1:29">
      <c r="A77" s="7"/>
      <c r="B77" s="4">
        <f>(1-e1_)*(e2_)*(1-e3_)</f>
        <v>8.0496257020504836E-2</v>
      </c>
      <c r="C77" s="1" t="s">
        <v>20</v>
      </c>
      <c r="D77" s="4">
        <f t="shared" si="23"/>
        <v>9.9686137077446889E-7</v>
      </c>
      <c r="E77" s="4">
        <f t="shared" si="23"/>
        <v>8.76877150184476E-6</v>
      </c>
      <c r="F77" s="4">
        <f t="shared" si="23"/>
        <v>1.0986303859141734E-7</v>
      </c>
      <c r="G77" s="4">
        <f t="shared" si="23"/>
        <v>9.6639704391198062E-7</v>
      </c>
      <c r="H77" s="4">
        <f t="shared" si="23"/>
        <v>9.2883187158581535E-6</v>
      </c>
      <c r="I77" s="4">
        <f t="shared" si="23"/>
        <v>8.1703581705038305E-5</v>
      </c>
      <c r="J77" s="4">
        <f t="shared" si="23"/>
        <v>1.0236557935201351E-6</v>
      </c>
      <c r="K77" s="4">
        <f t="shared" si="23"/>
        <v>9.0044654282711008E-6</v>
      </c>
      <c r="O77" s="1" t="s">
        <v>17</v>
      </c>
      <c r="P77" s="8">
        <f t="shared" si="25"/>
        <v>33.015212781777983</v>
      </c>
      <c r="Q77" s="8">
        <f t="shared" si="24"/>
        <v>0.32088888888888856</v>
      </c>
      <c r="R77" s="8">
        <f t="shared" si="24"/>
        <v>1.7978508501383936</v>
      </c>
      <c r="S77" s="8">
        <f t="shared" si="24"/>
        <v>8.1866106562703056</v>
      </c>
      <c r="T77" s="8">
        <f t="shared" si="24"/>
        <v>12.204824320124317</v>
      </c>
      <c r="U77" s="8">
        <f t="shared" si="24"/>
        <v>4.4784212271973463</v>
      </c>
      <c r="V77" s="8">
        <f t="shared" si="24"/>
        <v>10.645244667543126</v>
      </c>
      <c r="W77" s="8">
        <f t="shared" si="24"/>
        <v>79.544245531445384</v>
      </c>
      <c r="X77" s="7">
        <f t="shared" si="26"/>
        <v>150.19329892338573</v>
      </c>
      <c r="AC77" s="7"/>
    </row>
    <row r="78" spans="1:29">
      <c r="A78" s="7"/>
      <c r="O78" s="1" t="s">
        <v>18</v>
      </c>
      <c r="P78" s="8">
        <f t="shared" si="25"/>
        <v>52.365577068574382</v>
      </c>
      <c r="Q78" s="8">
        <f t="shared" si="24"/>
        <v>0.61493150684931497</v>
      </c>
      <c r="R78" s="8">
        <f t="shared" si="24"/>
        <v>10.267984643884366</v>
      </c>
      <c r="S78" s="8">
        <f t="shared" si="24"/>
        <v>4.5265792678042125</v>
      </c>
      <c r="T78" s="8">
        <f t="shared" si="24"/>
        <v>7.9434277229619692</v>
      </c>
      <c r="U78" s="8">
        <f t="shared" si="24"/>
        <v>20.345267327744843</v>
      </c>
      <c r="V78" s="8">
        <f t="shared" si="24"/>
        <v>17.993502873323283</v>
      </c>
      <c r="W78" s="8">
        <f t="shared" si="24"/>
        <v>137.35993079899441</v>
      </c>
      <c r="X78" s="7">
        <f t="shared" si="26"/>
        <v>251.4172012101368</v>
      </c>
      <c r="AC78" s="7"/>
    </row>
    <row r="79" spans="1:29">
      <c r="A79" s="7"/>
      <c r="C79" s="1" t="s">
        <v>31</v>
      </c>
      <c r="D79" s="4">
        <f>p_221*(ep1_)*(ep2_)*(1-ep3_)</f>
        <v>2.9448017460115962E-3</v>
      </c>
      <c r="E79" s="4">
        <f>p_221*(ep1_)*(ep2_)*(ep3_)</f>
        <v>3.3477427306328951E-4</v>
      </c>
      <c r="F79" s="4">
        <f>p_221*(ep1_)*(1-ep2_)*(1-ep3_)</f>
        <v>2.6720170339594985E-2</v>
      </c>
      <c r="G79" s="4">
        <f>p_221*(ep1_)*(1-ep2_)*(ep3_)</f>
        <v>3.0376325379732221E-3</v>
      </c>
      <c r="H79" s="4">
        <f>p_221*(1-ep1_)*(ep2_)*(1-ep3_)</f>
        <v>2.743837606097738E-2</v>
      </c>
      <c r="I79" s="4">
        <f>p_221*(1-ep1_)*(ep2_)*(ep3_)</f>
        <v>3.1192804107413401E-3</v>
      </c>
      <c r="J79" s="4">
        <f>p_221*(1-ep1_)*(1-ep2_)*(1-ep3_)</f>
        <v>0.24896687295983888</v>
      </c>
      <c r="K79" s="4">
        <f>p_221*(1-ep1_)*(1-ep2_)*(ep3_)</f>
        <v>2.8303332821931235E-2</v>
      </c>
      <c r="O79" s="1" t="s">
        <v>19</v>
      </c>
      <c r="P79" s="8">
        <f t="shared" si="25"/>
        <v>557.38494334759719</v>
      </c>
      <c r="Q79" s="8">
        <f t="shared" si="24"/>
        <v>75.04446617074035</v>
      </c>
      <c r="R79" s="8">
        <f t="shared" si="24"/>
        <v>7.0093341474391178</v>
      </c>
      <c r="S79" s="8">
        <f t="shared" si="24"/>
        <v>36.726281107361622</v>
      </c>
      <c r="T79" s="8">
        <f t="shared" si="24"/>
        <v>5.0387884941130485</v>
      </c>
      <c r="U79" s="8">
        <f t="shared" si="24"/>
        <v>30.345599000216765</v>
      </c>
      <c r="V79" s="8">
        <f t="shared" si="24"/>
        <v>1475.0556514581285</v>
      </c>
      <c r="W79" s="8">
        <f t="shared" si="24"/>
        <v>145.83558651330813</v>
      </c>
      <c r="X79" s="7">
        <f t="shared" si="26"/>
        <v>2332.4406502389047</v>
      </c>
      <c r="AC79" s="7"/>
    </row>
    <row r="80" spans="1:29">
      <c r="A80" s="7"/>
      <c r="C80" s="1"/>
      <c r="D80" s="1" t="s">
        <v>13</v>
      </c>
      <c r="E80" s="1" t="s">
        <v>14</v>
      </c>
      <c r="F80" s="1" t="s">
        <v>15</v>
      </c>
      <c r="G80" s="1" t="s">
        <v>16</v>
      </c>
      <c r="H80" s="1" t="s">
        <v>17</v>
      </c>
      <c r="I80" s="1" t="s">
        <v>18</v>
      </c>
      <c r="J80" s="1" t="s">
        <v>19</v>
      </c>
      <c r="K80" s="1" t="s">
        <v>20</v>
      </c>
      <c r="L80" s="1"/>
      <c r="O80" s="1" t="s">
        <v>20</v>
      </c>
      <c r="P80" s="8">
        <f t="shared" si="25"/>
        <v>613.22386043537347</v>
      </c>
      <c r="Q80" s="8">
        <f t="shared" si="24"/>
        <v>55.683386953298744</v>
      </c>
      <c r="R80" s="8">
        <f t="shared" si="24"/>
        <v>72.196187776895499</v>
      </c>
      <c r="S80" s="8">
        <f t="shared" si="24"/>
        <v>150.20847331746711</v>
      </c>
      <c r="T80" s="8">
        <f t="shared" si="24"/>
        <v>71.88361500204762</v>
      </c>
      <c r="U80" s="8">
        <f t="shared" si="24"/>
        <v>130.52955410862663</v>
      </c>
      <c r="V80" s="8">
        <f t="shared" si="24"/>
        <v>191.36806724931503</v>
      </c>
      <c r="W80" s="8">
        <f t="shared" si="24"/>
        <v>1524.1889016320645</v>
      </c>
      <c r="X80" s="7">
        <f t="shared" si="26"/>
        <v>2809.2820464750885</v>
      </c>
      <c r="AC80" s="7"/>
    </row>
    <row r="81" spans="1:29">
      <c r="A81" s="7"/>
      <c r="B81" s="4">
        <f>(e1_)*(e2_)*(1-e3_)</f>
        <v>8.6391963465543755E-3</v>
      </c>
      <c r="C81" s="1" t="s">
        <v>13</v>
      </c>
      <c r="D81" s="4">
        <f t="shared" ref="D81:K88" si="27">row_221*col_221</f>
        <v>2.5440720485470327E-5</v>
      </c>
      <c r="E81" s="4">
        <f t="shared" si="27"/>
        <v>2.8921806767687678E-6</v>
      </c>
      <c r="F81" s="4">
        <f t="shared" si="27"/>
        <v>2.3084079797713959E-4</v>
      </c>
      <c r="G81" s="4">
        <f t="shared" si="27"/>
        <v>2.6242703924232957E-5</v>
      </c>
      <c r="H81" s="4">
        <f t="shared" si="27"/>
        <v>2.3704551822138081E-4</v>
      </c>
      <c r="I81" s="4">
        <f t="shared" si="27"/>
        <v>2.6948075928355217E-5</v>
      </c>
      <c r="J81" s="4">
        <f t="shared" si="27"/>
        <v>2.1508736992877074E-3</v>
      </c>
      <c r="K81" s="4">
        <f t="shared" si="27"/>
        <v>2.445180495105409E-4</v>
      </c>
      <c r="X81" s="43">
        <f>SUM(X73:X80)</f>
        <v>10160.145176038746</v>
      </c>
      <c r="Y81" t="s">
        <v>51</v>
      </c>
      <c r="AC81" s="7"/>
    </row>
    <row r="82" spans="1:29">
      <c r="A82" s="7"/>
      <c r="B82" s="4">
        <f>(e1_)*(e2_)*(e3_)</f>
        <v>9.8213086184355258E-4</v>
      </c>
      <c r="C82" s="1" t="s">
        <v>14</v>
      </c>
      <c r="D82" s="4">
        <f t="shared" si="27"/>
        <v>2.8921806767687673E-6</v>
      </c>
      <c r="E82" s="4">
        <f t="shared" si="27"/>
        <v>3.2879214532669735E-7</v>
      </c>
      <c r="F82" s="4">
        <f t="shared" si="27"/>
        <v>2.6242703924232953E-5</v>
      </c>
      <c r="G82" s="4">
        <f t="shared" si="27"/>
        <v>2.9833526624836585E-6</v>
      </c>
      <c r="H82" s="4">
        <f t="shared" si="27"/>
        <v>2.6948075928355217E-5</v>
      </c>
      <c r="I82" s="4">
        <f t="shared" si="27"/>
        <v>3.0635415581331029E-6</v>
      </c>
      <c r="J82" s="4">
        <f t="shared" si="27"/>
        <v>2.4451804951054084E-4</v>
      </c>
      <c r="K82" s="4">
        <f t="shared" si="27"/>
        <v>2.7797576657448235E-5</v>
      </c>
      <c r="Y82" t="s">
        <v>115</v>
      </c>
      <c r="AC82" s="7"/>
    </row>
    <row r="83" spans="1:29">
      <c r="A83" s="7"/>
      <c r="B83" s="4">
        <f>(e1_)*(1-e2_)*(1-e3_)</f>
        <v>7.8389249221883117E-2</v>
      </c>
      <c r="C83" s="1" t="s">
        <v>15</v>
      </c>
      <c r="D83" s="4">
        <f t="shared" si="27"/>
        <v>2.3084079797713956E-4</v>
      </c>
      <c r="E83" s="4">
        <f t="shared" si="27"/>
        <v>2.6242703924232953E-5</v>
      </c>
      <c r="F83" s="4">
        <f t="shared" si="27"/>
        <v>2.0945740920016807E-3</v>
      </c>
      <c r="G83" s="4">
        <f t="shared" si="27"/>
        <v>2.3811773406368425E-4</v>
      </c>
      <c r="H83" s="4">
        <f t="shared" si="27"/>
        <v>2.1508736992877074E-3</v>
      </c>
      <c r="I83" s="4">
        <f t="shared" si="27"/>
        <v>2.4451804951054084E-4</v>
      </c>
      <c r="J83" s="4">
        <f t="shared" si="27"/>
        <v>1.9516326252441724E-2</v>
      </c>
      <c r="K83" s="4">
        <f t="shared" si="27"/>
        <v>2.2186770103882719E-3</v>
      </c>
      <c r="U83" t="s">
        <v>116</v>
      </c>
      <c r="W83">
        <f>_xlfn.CHISQ.INV(0.95,49)</f>
        <v>66.33864886296881</v>
      </c>
      <c r="AC83" s="7"/>
    </row>
    <row r="84" spans="1:29">
      <c r="A84" s="7"/>
      <c r="B84" s="4">
        <f>(e1_)*(1-e2_)*(e3_)</f>
        <v>8.9115350328000022E-3</v>
      </c>
      <c r="C84" s="1" t="s">
        <v>16</v>
      </c>
      <c r="D84" s="4">
        <f t="shared" si="27"/>
        <v>2.6242703924232953E-5</v>
      </c>
      <c r="E84" s="4">
        <f t="shared" si="27"/>
        <v>2.9833526624836585E-6</v>
      </c>
      <c r="F84" s="4">
        <f t="shared" si="27"/>
        <v>2.3811773406368425E-4</v>
      </c>
      <c r="G84" s="4">
        <f t="shared" si="27"/>
        <v>2.7069968778921553E-5</v>
      </c>
      <c r="H84" s="4">
        <f t="shared" si="27"/>
        <v>2.4451804951054084E-4</v>
      </c>
      <c r="I84" s="4">
        <f t="shared" si="27"/>
        <v>2.7797576657448235E-5</v>
      </c>
      <c r="J84" s="4">
        <f t="shared" si="27"/>
        <v>2.2186770103882719E-3</v>
      </c>
      <c r="K84" s="4">
        <f t="shared" si="27"/>
        <v>2.5222614198763837E-4</v>
      </c>
      <c r="AC84" s="7"/>
    </row>
    <row r="85" spans="1:29">
      <c r="A85" s="7"/>
      <c r="B85" s="4">
        <f>(1-e1_)*(e2_)*(1-e3_)</f>
        <v>8.0496257020504836E-2</v>
      </c>
      <c r="C85" s="1" t="s">
        <v>17</v>
      </c>
      <c r="D85" s="4">
        <f t="shared" si="27"/>
        <v>2.3704551822138084E-4</v>
      </c>
      <c r="E85" s="4">
        <f t="shared" si="27"/>
        <v>2.6948075928355221E-5</v>
      </c>
      <c r="F85" s="4">
        <f t="shared" si="27"/>
        <v>2.1508736992877078E-3</v>
      </c>
      <c r="G85" s="4">
        <f t="shared" si="27"/>
        <v>2.445180495105409E-4</v>
      </c>
      <c r="H85" s="4">
        <f t="shared" si="27"/>
        <v>2.2086865716297024E-3</v>
      </c>
      <c r="I85" s="4">
        <f t="shared" si="27"/>
        <v>2.5109039766206082E-4</v>
      </c>
      <c r="J85" s="4">
        <f t="shared" si="27"/>
        <v>2.0040901395366566E-2</v>
      </c>
      <c r="K85" s="4">
        <f t="shared" si="27"/>
        <v>2.278312353371067E-3</v>
      </c>
      <c r="AC85" s="7"/>
    </row>
    <row r="86" spans="1:29">
      <c r="A86" s="7"/>
      <c r="B86" s="4">
        <f>(1-e1_)*(e2_)*(e3_)</f>
        <v>9.1510662695216648E-3</v>
      </c>
      <c r="C86" s="1" t="s">
        <v>18</v>
      </c>
      <c r="D86" s="4">
        <f t="shared" si="27"/>
        <v>2.6948075928355224E-5</v>
      </c>
      <c r="E86" s="4">
        <f t="shared" si="27"/>
        <v>3.0635415581331038E-6</v>
      </c>
      <c r="F86" s="4">
        <f t="shared" si="27"/>
        <v>2.445180495105409E-4</v>
      </c>
      <c r="G86" s="4">
        <f t="shared" si="27"/>
        <v>2.7797576657448241E-5</v>
      </c>
      <c r="H86" s="4">
        <f t="shared" si="27"/>
        <v>2.5109039766206082E-4</v>
      </c>
      <c r="I86" s="4">
        <f t="shared" si="27"/>
        <v>2.8544741751914763E-5</v>
      </c>
      <c r="J86" s="4">
        <f t="shared" si="27"/>
        <v>2.278312353371067E-3</v>
      </c>
      <c r="K86" s="4">
        <f t="shared" si="27"/>
        <v>2.5900567430182036E-4</v>
      </c>
      <c r="AC86" s="7"/>
    </row>
    <row r="87" spans="1:29">
      <c r="A87" s="7"/>
      <c r="B87" s="4">
        <f>(1-e1_)*(1-e2_)*(1-e3_)</f>
        <v>0.73039677533498648</v>
      </c>
      <c r="C87" s="1" t="s">
        <v>19</v>
      </c>
      <c r="D87" s="4">
        <f t="shared" si="27"/>
        <v>2.1508736992877078E-3</v>
      </c>
      <c r="E87" s="4">
        <f t="shared" si="27"/>
        <v>2.445180495105409E-4</v>
      </c>
      <c r="F87" s="4">
        <f t="shared" si="27"/>
        <v>1.9516326252441728E-2</v>
      </c>
      <c r="G87" s="4">
        <f t="shared" si="27"/>
        <v>2.2186770103882723E-3</v>
      </c>
      <c r="H87" s="4">
        <f t="shared" si="27"/>
        <v>2.0040901395366566E-2</v>
      </c>
      <c r="I87" s="4">
        <f t="shared" si="27"/>
        <v>2.278312353371067E-3</v>
      </c>
      <c r="J87" s="4">
        <f t="shared" si="27"/>
        <v>0.18184460117510157</v>
      </c>
      <c r="K87" s="4">
        <f t="shared" si="27"/>
        <v>2.0672663024371457E-2</v>
      </c>
      <c r="AC87" s="7"/>
    </row>
    <row r="88" spans="1:29">
      <c r="A88" s="7"/>
      <c r="B88" s="4">
        <f>(1-e1_)*(1-e2_)*(e3_)</f>
        <v>8.3033789911906006E-2</v>
      </c>
      <c r="C88" s="1" t="s">
        <v>20</v>
      </c>
      <c r="D88" s="4">
        <f t="shared" si="27"/>
        <v>2.4451804951054084E-4</v>
      </c>
      <c r="E88" s="4">
        <f t="shared" si="27"/>
        <v>2.7797576657448235E-5</v>
      </c>
      <c r="F88" s="4">
        <f t="shared" si="27"/>
        <v>2.2186770103882723E-3</v>
      </c>
      <c r="G88" s="4">
        <f t="shared" si="27"/>
        <v>2.5222614198763837E-4</v>
      </c>
      <c r="H88" s="4">
        <f t="shared" si="27"/>
        <v>2.278312353371067E-3</v>
      </c>
      <c r="I88" s="4">
        <f t="shared" si="27"/>
        <v>2.590056743018203E-4</v>
      </c>
      <c r="J88" s="4">
        <f t="shared" si="27"/>
        <v>2.0672663024371454E-2</v>
      </c>
      <c r="K88" s="4">
        <f t="shared" si="27"/>
        <v>2.3501329913429921E-3</v>
      </c>
      <c r="AC88" s="7"/>
    </row>
    <row r="89" spans="1:29">
      <c r="A89" s="7"/>
      <c r="AC89" s="7"/>
    </row>
    <row r="90" spans="1:29">
      <c r="A90" s="7"/>
      <c r="C90" s="1" t="s">
        <v>32</v>
      </c>
      <c r="D90" s="4">
        <f>p_222*(ep1_)*(ep2_)*(ep3_)</f>
        <v>3.2533265903272201E-4</v>
      </c>
      <c r="E90" s="4">
        <f>p_222*(ep1_)*(ep2_)*(1-ep3_)</f>
        <v>2.8617497204542846E-3</v>
      </c>
      <c r="F90" s="4">
        <f>p_222*(ep1_)*(1-ep2_)*(ep3_)</f>
        <v>2.9519624124650585E-3</v>
      </c>
      <c r="G90" s="4">
        <f>p_222*(ep1_)*(1-ep2_)*(1-ep3_)</f>
        <v>2.5966583354343643E-2</v>
      </c>
      <c r="H90" s="4">
        <f>p_222*(1-ep1_)*(ep2_)*(ep3_)</f>
        <v>3.0313075763241572E-3</v>
      </c>
      <c r="I90" s="4">
        <f>p_222*(1-ep1_)*(ep2_)*(1-ep3_)</f>
        <v>2.6664533572954612E-2</v>
      </c>
      <c r="J90" s="4">
        <f>p_222*(1-ep1_)*(1-ep2_)*(ep3_)</f>
        <v>2.7505096022436056E-2</v>
      </c>
      <c r="K90" s="4">
        <f>p_222*(1-ep1_)*(1-ep2_)*(1-ep3_)</f>
        <v>0.24194527867968429</v>
      </c>
      <c r="AC90" s="7"/>
    </row>
    <row r="91" spans="1:29">
      <c r="A91" s="7"/>
      <c r="C91" s="1"/>
      <c r="D91" s="1" t="s">
        <v>13</v>
      </c>
      <c r="E91" s="1" t="s">
        <v>14</v>
      </c>
      <c r="F91" s="1" t="s">
        <v>15</v>
      </c>
      <c r="G91" s="1" t="s">
        <v>16</v>
      </c>
      <c r="H91" s="1" t="s">
        <v>17</v>
      </c>
      <c r="I91" s="1" t="s">
        <v>18</v>
      </c>
      <c r="J91" s="1" t="s">
        <v>19</v>
      </c>
      <c r="K91" s="1" t="s">
        <v>20</v>
      </c>
      <c r="AC91" s="7"/>
    </row>
    <row r="92" spans="1:29">
      <c r="A92" s="7"/>
      <c r="B92" s="4">
        <f>(e1_)*(e2_)*(e3_)</f>
        <v>9.8213086184355258E-4</v>
      </c>
      <c r="C92" s="1" t="s">
        <v>13</v>
      </c>
      <c r="D92" s="4">
        <f t="shared" ref="D92:K99" si="28">row_222*col_222</f>
        <v>3.1951924480166189E-7</v>
      </c>
      <c r="E92" s="4">
        <f t="shared" si="28"/>
        <v>2.8106127193303123E-6</v>
      </c>
      <c r="F92" s="4">
        <f t="shared" si="28"/>
        <v>2.8992133882840804E-6</v>
      </c>
      <c r="G92" s="4">
        <f t="shared" si="28"/>
        <v>2.5502582888933969E-5</v>
      </c>
      <c r="H92" s="4">
        <f t="shared" si="28"/>
        <v>2.977140722448135E-6</v>
      </c>
      <c r="I92" s="4">
        <f t="shared" si="28"/>
        <v>2.6188061338662255E-5</v>
      </c>
      <c r="J92" s="4">
        <f t="shared" si="28"/>
        <v>2.7013603661604794E-5</v>
      </c>
      <c r="K92" s="4">
        <f t="shared" si="28"/>
        <v>2.3762192506865686E-4</v>
      </c>
      <c r="AC92" s="7"/>
    </row>
    <row r="93" spans="1:29">
      <c r="A93" s="7"/>
      <c r="B93" s="4">
        <f>(e1_)*(e2_)*(1-e3_)</f>
        <v>8.6391963465543755E-3</v>
      </c>
      <c r="C93" s="1" t="s">
        <v>14</v>
      </c>
      <c r="D93" s="4">
        <f t="shared" si="28"/>
        <v>2.8106127193303123E-6</v>
      </c>
      <c r="E93" s="4">
        <f t="shared" si="28"/>
        <v>2.4723217729701659E-5</v>
      </c>
      <c r="F93" s="4">
        <f t="shared" si="28"/>
        <v>2.5502582888933973E-5</v>
      </c>
      <c r="G93" s="4">
        <f t="shared" si="28"/>
        <v>2.2433041204734526E-4</v>
      </c>
      <c r="H93" s="4">
        <f t="shared" si="28"/>
        <v>2.6188061338662259E-5</v>
      </c>
      <c r="I93" s="4">
        <f t="shared" si="28"/>
        <v>2.3036014102604597E-4</v>
      </c>
      <c r="J93" s="4">
        <f t="shared" si="28"/>
        <v>2.3762192506865686E-4</v>
      </c>
      <c r="K93" s="4">
        <f t="shared" si="28"/>
        <v>2.0902127676356089E-3</v>
      </c>
      <c r="AC93" s="7"/>
    </row>
    <row r="94" spans="1:29">
      <c r="A94" s="7"/>
      <c r="B94" s="4">
        <f>(e1_)*(1-e2_)*(e3_)</f>
        <v>8.9115350328000022E-3</v>
      </c>
      <c r="C94" s="1" t="s">
        <v>15</v>
      </c>
      <c r="D94" s="4">
        <f t="shared" si="28"/>
        <v>2.8992133882840804E-6</v>
      </c>
      <c r="E94" s="4">
        <f t="shared" si="28"/>
        <v>2.5502582888933969E-5</v>
      </c>
      <c r="F94" s="4">
        <f t="shared" si="28"/>
        <v>2.6306516454191179E-5</v>
      </c>
      <c r="G94" s="4">
        <f t="shared" si="28"/>
        <v>2.3140211724435476E-4</v>
      </c>
      <c r="H94" s="4">
        <f t="shared" si="28"/>
        <v>2.7013603661604794E-5</v>
      </c>
      <c r="I94" s="4">
        <f t="shared" si="28"/>
        <v>2.3762192506865683E-4</v>
      </c>
      <c r="J94" s="4">
        <f t="shared" si="28"/>
        <v>2.4511262678446691E-4</v>
      </c>
      <c r="K94" s="4">
        <f t="shared" si="28"/>
        <v>2.156103826974566E-3</v>
      </c>
      <c r="AC94" s="7"/>
    </row>
    <row r="95" spans="1:29">
      <c r="A95" s="7"/>
      <c r="B95" s="4">
        <f>(e1_)*(1-e2_)*(1-e3_)</f>
        <v>7.8389249221883117E-2</v>
      </c>
      <c r="C95" s="1" t="s">
        <v>16</v>
      </c>
      <c r="D95" s="4">
        <f t="shared" si="28"/>
        <v>2.5502582888933969E-5</v>
      </c>
      <c r="E95" s="4">
        <f t="shared" si="28"/>
        <v>2.2433041204734526E-4</v>
      </c>
      <c r="F95" s="4">
        <f t="shared" si="28"/>
        <v>2.3140211724435479E-4</v>
      </c>
      <c r="G95" s="4">
        <f t="shared" si="28"/>
        <v>2.0355009740044457E-3</v>
      </c>
      <c r="H95" s="4">
        <f t="shared" si="28"/>
        <v>2.3762192506865683E-4</v>
      </c>
      <c r="I95" s="4">
        <f t="shared" si="28"/>
        <v>2.0902127676356084E-3</v>
      </c>
      <c r="J95" s="4">
        <f t="shared" si="28"/>
        <v>2.156103826974566E-3</v>
      </c>
      <c r="K95" s="4">
        <f t="shared" si="28"/>
        <v>1.8965908748479737E-2</v>
      </c>
      <c r="AC95" s="7"/>
    </row>
    <row r="96" spans="1:29">
      <c r="A96" s="7"/>
      <c r="B96" s="4">
        <f>(1-e1_)*(e2_)*(e3_)</f>
        <v>9.1510662695216648E-3</v>
      </c>
      <c r="C96" s="1" t="s">
        <v>17</v>
      </c>
      <c r="D96" s="4">
        <f t="shared" si="28"/>
        <v>2.977140722448135E-6</v>
      </c>
      <c r="E96" s="4">
        <f t="shared" si="28"/>
        <v>2.6188061338662255E-5</v>
      </c>
      <c r="F96" s="4">
        <f t="shared" si="28"/>
        <v>2.7013603661604797E-5</v>
      </c>
      <c r="G96" s="4">
        <f t="shared" si="28"/>
        <v>2.3762192506865683E-4</v>
      </c>
      <c r="H96" s="4">
        <f t="shared" si="28"/>
        <v>2.7739696514245466E-5</v>
      </c>
      <c r="I96" s="4">
        <f t="shared" si="28"/>
        <v>2.4400891377199295E-4</v>
      </c>
      <c r="J96" s="4">
        <f t="shared" si="28"/>
        <v>2.5170095645086913E-4</v>
      </c>
      <c r="K96" s="4">
        <f t="shared" si="28"/>
        <v>2.2140572787956781E-3</v>
      </c>
      <c r="AC96" s="7"/>
    </row>
    <row r="97" spans="1:29">
      <c r="A97" s="7"/>
      <c r="B97" s="4">
        <f>(1-e1_)*(e2_)*(1-e3_)</f>
        <v>8.0496257020504836E-2</v>
      </c>
      <c r="C97" s="1" t="s">
        <v>18</v>
      </c>
      <c r="D97" s="4">
        <f t="shared" si="28"/>
        <v>2.6188061338662255E-5</v>
      </c>
      <c r="E97" s="4">
        <f t="shared" si="28"/>
        <v>2.3036014102604597E-4</v>
      </c>
      <c r="F97" s="4">
        <f t="shared" si="28"/>
        <v>2.3762192506865686E-4</v>
      </c>
      <c r="G97" s="4">
        <f t="shared" si="28"/>
        <v>2.0902127676356084E-3</v>
      </c>
      <c r="H97" s="4">
        <f t="shared" si="28"/>
        <v>2.4400891377199295E-4</v>
      </c>
      <c r="I97" s="4">
        <f t="shared" si="28"/>
        <v>2.1463951478204344E-3</v>
      </c>
      <c r="J97" s="4">
        <f t="shared" si="28"/>
        <v>2.2140572787956781E-3</v>
      </c>
      <c r="K97" s="4">
        <f t="shared" si="28"/>
        <v>1.9475689337497534E-2</v>
      </c>
      <c r="AC97" s="7"/>
    </row>
    <row r="98" spans="1:29">
      <c r="A98" s="7"/>
      <c r="B98" s="4">
        <f>(1-e1_)*(1-e2_)*(e3_)</f>
        <v>8.3033789911906006E-2</v>
      </c>
      <c r="C98" s="1" t="s">
        <v>19</v>
      </c>
      <c r="D98" s="4">
        <f t="shared" si="28"/>
        <v>2.701360366160479E-5</v>
      </c>
      <c r="E98" s="4">
        <f t="shared" si="28"/>
        <v>2.376219250686568E-4</v>
      </c>
      <c r="F98" s="4">
        <f t="shared" si="28"/>
        <v>2.4511262678446691E-4</v>
      </c>
      <c r="G98" s="4">
        <f t="shared" si="28"/>
        <v>2.1561038269745656E-3</v>
      </c>
      <c r="H98" s="4">
        <f t="shared" si="28"/>
        <v>2.5170095645086907E-4</v>
      </c>
      <c r="I98" s="4">
        <f t="shared" si="28"/>
        <v>2.2140572787956777E-3</v>
      </c>
      <c r="J98" s="4">
        <f t="shared" si="28"/>
        <v>2.2838523646337571E-3</v>
      </c>
      <c r="K98" s="4">
        <f t="shared" si="28"/>
        <v>2.0089633440066458E-2</v>
      </c>
      <c r="AC98" s="7"/>
    </row>
    <row r="99" spans="1:29">
      <c r="A99" s="7"/>
      <c r="B99" s="4">
        <f>(1-e1_)*(1-e2_)*(1-e3_)</f>
        <v>0.73039677533498648</v>
      </c>
      <c r="C99" s="1" t="s">
        <v>20</v>
      </c>
      <c r="D99" s="4">
        <f t="shared" si="28"/>
        <v>2.3762192506865683E-4</v>
      </c>
      <c r="E99" s="4">
        <f t="shared" si="28"/>
        <v>2.0902127676356084E-3</v>
      </c>
      <c r="F99" s="4">
        <f t="shared" si="28"/>
        <v>2.156103826974566E-3</v>
      </c>
      <c r="G99" s="4">
        <f t="shared" si="28"/>
        <v>1.8965908748479733E-2</v>
      </c>
      <c r="H99" s="4">
        <f t="shared" si="28"/>
        <v>2.2140572787956777E-3</v>
      </c>
      <c r="I99" s="4">
        <f t="shared" si="28"/>
        <v>1.9475689337497534E-2</v>
      </c>
      <c r="J99" s="4">
        <f t="shared" si="28"/>
        <v>2.0089633440066458E-2</v>
      </c>
      <c r="K99" s="4">
        <f t="shared" si="28"/>
        <v>0.17671605135516608</v>
      </c>
      <c r="AC99" s="7"/>
    </row>
    <row r="100" spans="1:29">
      <c r="A100" s="7"/>
      <c r="AC100" s="7"/>
    </row>
    <row r="101" spans="1:29">
      <c r="A101" s="7"/>
      <c r="C101" s="1" t="s">
        <v>33</v>
      </c>
      <c r="AC101" s="7"/>
    </row>
    <row r="102" spans="1:29">
      <c r="A102" s="7"/>
      <c r="C102" s="1"/>
      <c r="D102" s="1" t="s">
        <v>13</v>
      </c>
      <c r="E102" s="1" t="s">
        <v>14</v>
      </c>
      <c r="F102" s="1" t="s">
        <v>15</v>
      </c>
      <c r="G102" s="1" t="s">
        <v>16</v>
      </c>
      <c r="H102" s="1" t="s">
        <v>17</v>
      </c>
      <c r="I102" s="1" t="s">
        <v>18</v>
      </c>
      <c r="J102" s="1" t="s">
        <v>19</v>
      </c>
      <c r="K102" s="1" t="s">
        <v>20</v>
      </c>
      <c r="AC102" s="7"/>
    </row>
    <row r="103" spans="1:29">
      <c r="A103" s="7"/>
      <c r="C103" s="1" t="s">
        <v>13</v>
      </c>
      <c r="D103" s="4">
        <f>D15+D26+D37+D48+D59+D70+D81+D92</f>
        <v>0.17250647796316548</v>
      </c>
      <c r="E103" s="4">
        <f t="shared" ref="E103:K103" si="29">E15+E26+E37+E48+E59+E70+E81+E92</f>
        <v>1.9615688719512542E-2</v>
      </c>
      <c r="F103" s="4">
        <f t="shared" si="29"/>
        <v>1.9243566405408186E-2</v>
      </c>
      <c r="G103" s="4">
        <f t="shared" si="29"/>
        <v>2.220934407113895E-3</v>
      </c>
      <c r="H103" s="4">
        <f t="shared" si="29"/>
        <v>1.8865203262310119E-2</v>
      </c>
      <c r="I103" s="4">
        <f t="shared" si="29"/>
        <v>2.1795276899368109E-3</v>
      </c>
      <c r="J103" s="4">
        <f t="shared" si="29"/>
        <v>4.2306463073606051E-3</v>
      </c>
      <c r="K103" s="4">
        <f t="shared" si="29"/>
        <v>7.1734521444750173E-4</v>
      </c>
      <c r="L103" s="7">
        <f>SUM(D103:K103)</f>
        <v>0.23957938996925518</v>
      </c>
      <c r="AC103" s="7"/>
    </row>
    <row r="104" spans="1:29">
      <c r="A104" s="7"/>
      <c r="C104" s="1" t="s">
        <v>14</v>
      </c>
      <c r="D104" s="4">
        <f t="shared" ref="D104:K110" si="30">D16+D27+D38+D49+D60+D71+D82+D93</f>
        <v>1.9615688719512542E-2</v>
      </c>
      <c r="E104" s="4">
        <f t="shared" si="30"/>
        <v>2.270548340739695E-3</v>
      </c>
      <c r="F104" s="4">
        <f t="shared" si="30"/>
        <v>2.220934407113895E-3</v>
      </c>
      <c r="G104" s="4">
        <f t="shared" si="30"/>
        <v>5.4509953652563062E-4</v>
      </c>
      <c r="H104" s="4">
        <f t="shared" si="30"/>
        <v>2.1795276899368109E-3</v>
      </c>
      <c r="I104" s="4">
        <f t="shared" si="30"/>
        <v>5.545262124570544E-4</v>
      </c>
      <c r="J104" s="4">
        <f t="shared" si="30"/>
        <v>7.1734521444750173E-4</v>
      </c>
      <c r="K104" s="4">
        <f t="shared" si="30"/>
        <v>2.1609448932968212E-3</v>
      </c>
      <c r="L104" s="7">
        <f t="shared" ref="L104:L111" si="31">SUM(D104:K104)</f>
        <v>3.0264615014029949E-2</v>
      </c>
      <c r="T104" s="6"/>
      <c r="AC104" s="7"/>
    </row>
    <row r="105" spans="1:29">
      <c r="A105" s="7"/>
      <c r="C105" s="1" t="s">
        <v>15</v>
      </c>
      <c r="D105" s="4">
        <f t="shared" si="30"/>
        <v>1.9243566405408186E-2</v>
      </c>
      <c r="E105" s="4">
        <f t="shared" si="30"/>
        <v>2.220934407113895E-3</v>
      </c>
      <c r="F105" s="4">
        <f t="shared" si="30"/>
        <v>4.224178758033389E-3</v>
      </c>
      <c r="G105" s="4">
        <f t="shared" si="30"/>
        <v>7.8111237415767005E-4</v>
      </c>
      <c r="H105" s="4">
        <f t="shared" si="30"/>
        <v>4.2306463073606051E-3</v>
      </c>
      <c r="I105" s="4">
        <f t="shared" si="30"/>
        <v>7.1734521444750173E-4</v>
      </c>
      <c r="J105" s="4">
        <f t="shared" si="30"/>
        <v>1.9988556196998134E-2</v>
      </c>
      <c r="K105" s="4">
        <f t="shared" si="30"/>
        <v>4.4084866195878009E-3</v>
      </c>
      <c r="L105" s="7">
        <f t="shared" si="31"/>
        <v>5.5814826283107188E-2</v>
      </c>
      <c r="AC105" s="7"/>
    </row>
    <row r="106" spans="1:29">
      <c r="A106" s="7"/>
      <c r="C106" s="1" t="s">
        <v>16</v>
      </c>
      <c r="D106" s="4">
        <f t="shared" si="30"/>
        <v>2.220934407113895E-3</v>
      </c>
      <c r="E106" s="4">
        <f t="shared" si="30"/>
        <v>5.4509953652563062E-4</v>
      </c>
      <c r="F106" s="4">
        <f t="shared" si="30"/>
        <v>7.8111237415767005E-4</v>
      </c>
      <c r="G106" s="4">
        <f t="shared" si="30"/>
        <v>2.735581866056159E-3</v>
      </c>
      <c r="H106" s="4">
        <f t="shared" si="30"/>
        <v>7.1734521444750173E-4</v>
      </c>
      <c r="I106" s="4">
        <f t="shared" si="30"/>
        <v>2.1609448932968208E-3</v>
      </c>
      <c r="J106" s="4">
        <f t="shared" si="30"/>
        <v>4.4084866195878009E-3</v>
      </c>
      <c r="K106" s="4">
        <f t="shared" si="30"/>
        <v>1.9291338222699732E-2</v>
      </c>
      <c r="L106" s="7">
        <f t="shared" si="31"/>
        <v>3.2860843133885209E-2</v>
      </c>
      <c r="AC106" s="7"/>
    </row>
    <row r="107" spans="1:29">
      <c r="A107" s="7"/>
      <c r="C107" s="1" t="s">
        <v>17</v>
      </c>
      <c r="D107" s="4">
        <f t="shared" si="30"/>
        <v>1.8865203262310115E-2</v>
      </c>
      <c r="E107" s="4">
        <f t="shared" si="30"/>
        <v>2.1795276899368105E-3</v>
      </c>
      <c r="F107" s="4">
        <f t="shared" si="30"/>
        <v>4.2306463073606051E-3</v>
      </c>
      <c r="G107" s="4">
        <f t="shared" si="30"/>
        <v>7.1734521444750173E-4</v>
      </c>
      <c r="H107" s="4">
        <f t="shared" si="30"/>
        <v>5.2959365092531329E-3</v>
      </c>
      <c r="I107" s="4">
        <f t="shared" si="30"/>
        <v>9.2611410614139777E-4</v>
      </c>
      <c r="J107" s="4">
        <f t="shared" si="30"/>
        <v>2.0629798210299942E-2</v>
      </c>
      <c r="K107" s="4">
        <f t="shared" si="30"/>
        <v>4.5399633879190477E-3</v>
      </c>
      <c r="L107" s="7">
        <f t="shared" si="31"/>
        <v>5.7384534687668555E-2</v>
      </c>
      <c r="AC107" s="7"/>
    </row>
    <row r="108" spans="1:29">
      <c r="A108" s="7"/>
      <c r="C108" s="1" t="s">
        <v>18</v>
      </c>
      <c r="D108" s="4">
        <f t="shared" si="30"/>
        <v>2.1795276899368105E-3</v>
      </c>
      <c r="E108" s="4">
        <f t="shared" si="30"/>
        <v>5.545262124570544E-4</v>
      </c>
      <c r="F108" s="4">
        <f t="shared" si="30"/>
        <v>7.1734521444750173E-4</v>
      </c>
      <c r="G108" s="4">
        <f t="shared" si="30"/>
        <v>2.1609448932968208E-3</v>
      </c>
      <c r="H108" s="4">
        <f t="shared" si="30"/>
        <v>9.2611410614139777E-4</v>
      </c>
      <c r="I108" s="4">
        <f t="shared" si="30"/>
        <v>2.9557987116713485E-3</v>
      </c>
      <c r="J108" s="4">
        <f t="shared" si="30"/>
        <v>4.5399633879190477E-3</v>
      </c>
      <c r="K108" s="4">
        <f t="shared" si="30"/>
        <v>1.9821562525241549E-2</v>
      </c>
      <c r="L108" s="7">
        <f t="shared" si="31"/>
        <v>3.3855782741111534E-2</v>
      </c>
      <c r="AC108" s="7"/>
    </row>
    <row r="109" spans="1:29">
      <c r="A109" s="7"/>
      <c r="C109" s="1" t="s">
        <v>19</v>
      </c>
      <c r="D109" s="4">
        <f t="shared" si="30"/>
        <v>4.2306463073606051E-3</v>
      </c>
      <c r="E109" s="4">
        <f t="shared" si="30"/>
        <v>7.1734521444750173E-4</v>
      </c>
      <c r="F109" s="4">
        <f t="shared" si="30"/>
        <v>1.9988556196998138E-2</v>
      </c>
      <c r="G109" s="4">
        <f t="shared" si="30"/>
        <v>4.4084866195878009E-3</v>
      </c>
      <c r="H109" s="4">
        <f t="shared" si="30"/>
        <v>2.0629798210299942E-2</v>
      </c>
      <c r="I109" s="4">
        <f t="shared" si="30"/>
        <v>4.5399633879190469E-3</v>
      </c>
      <c r="J109" s="4">
        <f t="shared" si="30"/>
        <v>0.18416571051203282</v>
      </c>
      <c r="K109" s="4">
        <f t="shared" si="30"/>
        <v>4.0768377140119515E-2</v>
      </c>
      <c r="L109" s="7">
        <f t="shared" si="31"/>
        <v>0.27944888358876535</v>
      </c>
      <c r="AC109" s="7"/>
    </row>
    <row r="110" spans="1:29">
      <c r="A110" s="7"/>
      <c r="C110" s="1" t="s">
        <v>20</v>
      </c>
      <c r="D110" s="4">
        <f t="shared" si="30"/>
        <v>7.1734521444750162E-4</v>
      </c>
      <c r="E110" s="4">
        <f t="shared" si="30"/>
        <v>2.1609448932968208E-3</v>
      </c>
      <c r="F110" s="4">
        <f t="shared" si="30"/>
        <v>4.4084866195878009E-3</v>
      </c>
      <c r="G110" s="4">
        <f t="shared" si="30"/>
        <v>1.9291338222699728E-2</v>
      </c>
      <c r="H110" s="4">
        <f t="shared" si="30"/>
        <v>4.5399633879190469E-3</v>
      </c>
      <c r="I110" s="4">
        <f t="shared" si="30"/>
        <v>1.9821562525241549E-2</v>
      </c>
      <c r="J110" s="4">
        <f t="shared" si="30"/>
        <v>4.0768377140119508E-2</v>
      </c>
      <c r="K110" s="4">
        <f t="shared" si="30"/>
        <v>0.17908310657886484</v>
      </c>
      <c r="L110" s="7">
        <f t="shared" si="31"/>
        <v>0.2707911245821768</v>
      </c>
      <c r="AC110" s="7"/>
    </row>
    <row r="111" spans="1:29">
      <c r="A111" s="7"/>
      <c r="D111" s="3">
        <f>SUM(D103:D110)</f>
        <v>0.23957938996925518</v>
      </c>
      <c r="E111" s="3">
        <f t="shared" ref="E111:K111" si="32">SUM(E103:E110)</f>
        <v>3.0264615014029949E-2</v>
      </c>
      <c r="F111" s="3">
        <f t="shared" si="32"/>
        <v>5.5814826283107188E-2</v>
      </c>
      <c r="G111" s="3">
        <f t="shared" si="32"/>
        <v>3.2860843133885209E-2</v>
      </c>
      <c r="H111" s="3">
        <f t="shared" si="32"/>
        <v>5.7384534687668555E-2</v>
      </c>
      <c r="I111" s="3">
        <f t="shared" si="32"/>
        <v>3.3855782741111527E-2</v>
      </c>
      <c r="J111" s="3">
        <f t="shared" si="32"/>
        <v>0.27944888358876535</v>
      </c>
      <c r="K111" s="3">
        <f t="shared" si="32"/>
        <v>0.2707911245821768</v>
      </c>
      <c r="L111" s="7">
        <f t="shared" si="31"/>
        <v>0.99999999999999978</v>
      </c>
      <c r="AC111" s="7"/>
    </row>
    <row r="112" spans="1:29">
      <c r="A112" s="7"/>
      <c r="L112" s="7"/>
      <c r="M112" s="7"/>
      <c r="N112" s="7"/>
      <c r="O112" s="7"/>
      <c r="P112" s="7"/>
      <c r="Q112" s="7"/>
      <c r="R112" s="7"/>
      <c r="S112" s="7"/>
      <c r="T112" s="7"/>
      <c r="U112" s="7"/>
      <c r="V112" s="7"/>
      <c r="W112" s="7"/>
      <c r="X112" s="7"/>
      <c r="Y112" s="7"/>
      <c r="Z112" s="7"/>
      <c r="AA112" s="7"/>
      <c r="AB112" s="7"/>
      <c r="AC112" s="7"/>
    </row>
    <row r="113" spans="1:29">
      <c r="A113" s="7"/>
      <c r="C113" s="1" t="s">
        <v>34</v>
      </c>
      <c r="N113" t="s">
        <v>36</v>
      </c>
      <c r="O113" s="8">
        <f>(L119+L120+L121+L122)/$L$12</f>
        <v>0.64148032559972212</v>
      </c>
      <c r="W113" t="s">
        <v>54</v>
      </c>
      <c r="Y113" t="s">
        <v>60</v>
      </c>
      <c r="AC113" s="7"/>
    </row>
    <row r="114" spans="1:29">
      <c r="A114" s="7"/>
      <c r="C114" s="1"/>
      <c r="D114" s="1" t="s">
        <v>13</v>
      </c>
      <c r="E114" s="1" t="s">
        <v>14</v>
      </c>
      <c r="F114" s="1" t="s">
        <v>15</v>
      </c>
      <c r="G114" s="1" t="s">
        <v>16</v>
      </c>
      <c r="H114" s="1" t="s">
        <v>17</v>
      </c>
      <c r="I114" s="1" t="s">
        <v>18</v>
      </c>
      <c r="J114" s="1" t="s">
        <v>19</v>
      </c>
      <c r="K114" s="1" t="s">
        <v>20</v>
      </c>
      <c r="N114" t="s">
        <v>37</v>
      </c>
      <c r="O114" s="8">
        <f>(L117+L118+L121+L122)/$L$12</f>
        <v>0.63891567758793455</v>
      </c>
      <c r="R114" t="s">
        <v>58</v>
      </c>
      <c r="W114" s="1" t="s">
        <v>45</v>
      </c>
      <c r="X114" s="7" t="s">
        <v>47</v>
      </c>
      <c r="Y114" s="7" t="s">
        <v>48</v>
      </c>
      <c r="Z114" s="7" t="s">
        <v>49</v>
      </c>
      <c r="AA114" s="7" t="s">
        <v>50</v>
      </c>
      <c r="AB114" s="7"/>
      <c r="AC114" s="7"/>
    </row>
    <row r="115" spans="1:29">
      <c r="A115" s="7"/>
      <c r="C115" s="1" t="s">
        <v>13</v>
      </c>
      <c r="D115" s="5">
        <f t="shared" ref="D115:K122" si="33">$L$12*D103</f>
        <v>1725.0647796316548</v>
      </c>
      <c r="E115" s="5">
        <f t="shared" si="33"/>
        <v>196.15688719512542</v>
      </c>
      <c r="F115" s="5">
        <f t="shared" si="33"/>
        <v>192.43566405408185</v>
      </c>
      <c r="G115" s="5">
        <f t="shared" si="33"/>
        <v>22.20934407113895</v>
      </c>
      <c r="H115" s="5">
        <f t="shared" si="33"/>
        <v>188.65203262310118</v>
      </c>
      <c r="I115" s="5">
        <f t="shared" si="33"/>
        <v>21.795276899368108</v>
      </c>
      <c r="J115" s="5">
        <f t="shared" si="33"/>
        <v>42.306463073606054</v>
      </c>
      <c r="K115" s="5">
        <f t="shared" si="33"/>
        <v>7.173452144475017</v>
      </c>
      <c r="L115" s="12">
        <f>SUM(D115:K115)</f>
        <v>2395.7938996925513</v>
      </c>
      <c r="N115" t="s">
        <v>38</v>
      </c>
      <c r="O115" s="8">
        <f>(L116+L118+L120+L122)/$L$12</f>
        <v>0.36777236547120346</v>
      </c>
      <c r="W115" s="1" t="s">
        <v>13</v>
      </c>
      <c r="X115" s="5">
        <f t="shared" ref="X115:X122" si="34">L115</f>
        <v>2395.7938996925513</v>
      </c>
      <c r="Y115" s="5">
        <f>D115</f>
        <v>1725.0647796316548</v>
      </c>
      <c r="Z115" s="5">
        <f>X115-Y115</f>
        <v>670.72912006089655</v>
      </c>
      <c r="AA115" s="8">
        <f t="shared" ref="AA115:AB122" si="35">POWER(AA4-Y115,2)/Y115</f>
        <v>0.21069691219431713</v>
      </c>
      <c r="AB115" s="8">
        <f t="shared" si="35"/>
        <v>2.5394536781007027</v>
      </c>
      <c r="AC115" s="7"/>
    </row>
    <row r="116" spans="1:29">
      <c r="A116" s="7"/>
      <c r="C116" s="1" t="s">
        <v>14</v>
      </c>
      <c r="D116" s="5">
        <f t="shared" si="33"/>
        <v>196.15688719512542</v>
      </c>
      <c r="E116" s="5">
        <f t="shared" si="33"/>
        <v>22.705483407396951</v>
      </c>
      <c r="F116" s="5">
        <f t="shared" si="33"/>
        <v>22.20934407113895</v>
      </c>
      <c r="G116" s="5">
        <f t="shared" si="33"/>
        <v>5.4509953652563059</v>
      </c>
      <c r="H116" s="5">
        <f t="shared" si="33"/>
        <v>21.795276899368108</v>
      </c>
      <c r="I116" s="5">
        <f t="shared" si="33"/>
        <v>5.5452621245705442</v>
      </c>
      <c r="J116" s="5">
        <f t="shared" si="33"/>
        <v>7.173452144475017</v>
      </c>
      <c r="K116" s="5">
        <f t="shared" si="33"/>
        <v>21.609448932968213</v>
      </c>
      <c r="L116" s="12">
        <f t="shared" ref="L116:L123" si="36">SUM(D116:K116)</f>
        <v>302.64615014029954</v>
      </c>
      <c r="M116" s="10" t="s">
        <v>39</v>
      </c>
      <c r="N116" s="10">
        <v>1</v>
      </c>
      <c r="O116" s="10">
        <v>2</v>
      </c>
      <c r="P116" s="10" t="s">
        <v>39</v>
      </c>
      <c r="Q116" s="10">
        <v>1</v>
      </c>
      <c r="R116" s="10">
        <v>2</v>
      </c>
      <c r="S116" s="10" t="s">
        <v>11</v>
      </c>
      <c r="T116" s="10" t="s">
        <v>42</v>
      </c>
      <c r="U116" s="10" t="s">
        <v>43</v>
      </c>
      <c r="V116" s="10"/>
      <c r="W116" s="1" t="s">
        <v>14</v>
      </c>
      <c r="X116" s="5">
        <f t="shared" si="34"/>
        <v>302.64615014029954</v>
      </c>
      <c r="Y116" s="5">
        <f>E116</f>
        <v>22.705483407396951</v>
      </c>
      <c r="Z116" s="5">
        <f t="shared" ref="Z116:Z122" si="37">X116-Y116</f>
        <v>279.94066673290257</v>
      </c>
      <c r="AA116" s="8">
        <f t="shared" si="35"/>
        <v>0.60472648990247813</v>
      </c>
      <c r="AB116" s="8">
        <f t="shared" si="35"/>
        <v>0.2855445139919558</v>
      </c>
      <c r="AC116" s="7"/>
    </row>
    <row r="117" spans="1:29">
      <c r="A117" s="7"/>
      <c r="C117" s="1" t="s">
        <v>15</v>
      </c>
      <c r="D117" s="5">
        <f t="shared" si="33"/>
        <v>192.43566405408185</v>
      </c>
      <c r="E117" s="5">
        <f t="shared" si="33"/>
        <v>22.20934407113895</v>
      </c>
      <c r="F117" s="5">
        <f t="shared" si="33"/>
        <v>42.241787580333892</v>
      </c>
      <c r="G117" s="5">
        <f t="shared" si="33"/>
        <v>7.8111237415767008</v>
      </c>
      <c r="H117" s="5">
        <f t="shared" si="33"/>
        <v>42.306463073606054</v>
      </c>
      <c r="I117" s="5">
        <f t="shared" si="33"/>
        <v>7.173452144475017</v>
      </c>
      <c r="J117" s="5">
        <f t="shared" si="33"/>
        <v>199.88556196998135</v>
      </c>
      <c r="K117" s="5">
        <f t="shared" si="33"/>
        <v>44.084866195878007</v>
      </c>
      <c r="L117" s="12">
        <f t="shared" si="36"/>
        <v>558.14826283107186</v>
      </c>
      <c r="M117" s="10">
        <v>1</v>
      </c>
      <c r="N117" s="5">
        <f>D115+E115+F115+G115+D116+E116+F116+G116+D117+E117+F117+G117+D118+E118+F118+G118</f>
        <v>2709.9145862765831</v>
      </c>
      <c r="O117" s="5">
        <f>H115+I115+J115+K115+H116+I116+J116+K116+H117+I117+J117+K117+H118+I118+J118+K118</f>
        <v>875.28215772619126</v>
      </c>
      <c r="P117" s="10">
        <v>1</v>
      </c>
      <c r="Q117">
        <f>POWER(N6-N117,2)/N117</f>
        <v>0.22906131893485057</v>
      </c>
      <c r="R117">
        <f>POWER(O6-O117,2)/O117</f>
        <v>0.56723943079641737</v>
      </c>
      <c r="S117" s="23">
        <f>Q117+R117+Q118+R118</f>
        <v>1.5855465174267496</v>
      </c>
      <c r="T117">
        <f>_xlfn.CHISQ.DIST(S117,1,TRUE)</f>
        <v>0.79203643205743357</v>
      </c>
      <c r="U117" s="23">
        <f>1-T117</f>
        <v>0.20796356794256643</v>
      </c>
      <c r="W117" s="1" t="s">
        <v>15</v>
      </c>
      <c r="X117" s="5">
        <f t="shared" si="34"/>
        <v>558.14826283107186</v>
      </c>
      <c r="Y117" s="5">
        <f>F117</f>
        <v>42.241787580333892</v>
      </c>
      <c r="Z117" s="5">
        <f t="shared" si="37"/>
        <v>515.90647525073791</v>
      </c>
      <c r="AA117" s="8">
        <f t="shared" si="35"/>
        <v>0.24878650544845149</v>
      </c>
      <c r="AB117" s="8">
        <f t="shared" si="35"/>
        <v>0.93019506622388781</v>
      </c>
      <c r="AC117" s="7"/>
    </row>
    <row r="118" spans="1:29">
      <c r="A118" s="7"/>
      <c r="C118" s="1" t="s">
        <v>16</v>
      </c>
      <c r="D118" s="5">
        <f t="shared" si="33"/>
        <v>22.20934407113895</v>
      </c>
      <c r="E118" s="5">
        <f t="shared" si="33"/>
        <v>5.4509953652563059</v>
      </c>
      <c r="F118" s="5">
        <f t="shared" si="33"/>
        <v>7.8111237415767008</v>
      </c>
      <c r="G118" s="5">
        <f t="shared" si="33"/>
        <v>27.355818660561589</v>
      </c>
      <c r="H118" s="5">
        <f t="shared" si="33"/>
        <v>7.173452144475017</v>
      </c>
      <c r="I118" s="5">
        <f t="shared" si="33"/>
        <v>21.609448932968206</v>
      </c>
      <c r="J118" s="5">
        <f t="shared" si="33"/>
        <v>44.084866195878007</v>
      </c>
      <c r="K118" s="5">
        <f t="shared" si="33"/>
        <v>192.91338222699733</v>
      </c>
      <c r="L118" s="12">
        <f t="shared" si="36"/>
        <v>328.60843133885209</v>
      </c>
      <c r="M118" s="10">
        <v>2</v>
      </c>
      <c r="N118" s="5">
        <f>D119+E119+F119+G119+D120+E120+F120+G120+D121+E121+F121+G121+D122+E122+F122+G122</f>
        <v>875.28215772619114</v>
      </c>
      <c r="O118" s="5">
        <f>H119+I119+J119+K119+H120+I120+J120+K120+H121+I121+J121+K121+H122+I122+J122+K122</f>
        <v>5539.5210982710305</v>
      </c>
      <c r="P118" s="10">
        <v>2</v>
      </c>
      <c r="Q118">
        <f>POWER(N7-N118,2)/N118</f>
        <v>0.69802831153336331</v>
      </c>
      <c r="R118">
        <f>POWER(O7-O118,2)/O118</f>
        <v>9.1217456162118474E-2</v>
      </c>
      <c r="W118" s="1" t="s">
        <v>16</v>
      </c>
      <c r="X118" s="5">
        <f t="shared" si="34"/>
        <v>328.60843133885209</v>
      </c>
      <c r="Y118" s="5">
        <f>G118</f>
        <v>27.355818660561589</v>
      </c>
      <c r="Z118" s="5">
        <f t="shared" si="37"/>
        <v>301.25261267829052</v>
      </c>
      <c r="AA118" s="8">
        <f t="shared" si="35"/>
        <v>4.6281531828681879E-3</v>
      </c>
      <c r="AB118" s="8">
        <f t="shared" si="35"/>
        <v>3.2422151978555505</v>
      </c>
      <c r="AC118" s="7"/>
    </row>
    <row r="119" spans="1:29">
      <c r="A119" s="7"/>
      <c r="C119" s="1" t="s">
        <v>17</v>
      </c>
      <c r="D119" s="5">
        <f t="shared" si="33"/>
        <v>188.65203262310115</v>
      </c>
      <c r="E119" s="5">
        <f t="shared" si="33"/>
        <v>21.795276899368105</v>
      </c>
      <c r="F119" s="5">
        <f t="shared" si="33"/>
        <v>42.306463073606054</v>
      </c>
      <c r="G119" s="5">
        <f t="shared" si="33"/>
        <v>7.173452144475017</v>
      </c>
      <c r="H119" s="5">
        <f t="shared" si="33"/>
        <v>52.959365092531328</v>
      </c>
      <c r="I119" s="5">
        <f t="shared" si="33"/>
        <v>9.2611410614139782</v>
      </c>
      <c r="J119" s="5">
        <f t="shared" si="33"/>
        <v>206.29798210299941</v>
      </c>
      <c r="K119" s="5">
        <f t="shared" si="33"/>
        <v>45.399633879190475</v>
      </c>
      <c r="L119" s="12">
        <f t="shared" si="36"/>
        <v>573.84534687668554</v>
      </c>
      <c r="M119" s="10" t="s">
        <v>40</v>
      </c>
      <c r="N119" s="10">
        <v>1</v>
      </c>
      <c r="O119" s="10">
        <v>2</v>
      </c>
      <c r="P119" s="10" t="s">
        <v>40</v>
      </c>
      <c r="Q119" s="10">
        <v>1</v>
      </c>
      <c r="R119" s="10">
        <v>2</v>
      </c>
      <c r="S119" s="10" t="s">
        <v>11</v>
      </c>
      <c r="T119" s="10" t="s">
        <v>42</v>
      </c>
      <c r="U119" s="10" t="s">
        <v>43</v>
      </c>
      <c r="W119" s="1" t="s">
        <v>17</v>
      </c>
      <c r="X119" s="5">
        <f t="shared" si="34"/>
        <v>573.84534687668554</v>
      </c>
      <c r="Y119" s="5">
        <f>H119</f>
        <v>52.959365092531328</v>
      </c>
      <c r="Z119" s="5">
        <f t="shared" si="37"/>
        <v>520.88598178415418</v>
      </c>
      <c r="AA119" s="8">
        <f t="shared" si="35"/>
        <v>3.1178540416836781E-5</v>
      </c>
      <c r="AB119" s="8">
        <f t="shared" si="35"/>
        <v>8.5797529079594936E-3</v>
      </c>
      <c r="AC119" s="7"/>
    </row>
    <row r="120" spans="1:29">
      <c r="A120" s="7"/>
      <c r="C120" s="1" t="s">
        <v>18</v>
      </c>
      <c r="D120" s="5">
        <f t="shared" si="33"/>
        <v>21.795276899368105</v>
      </c>
      <c r="E120" s="5">
        <f t="shared" si="33"/>
        <v>5.5452621245705442</v>
      </c>
      <c r="F120" s="5">
        <f t="shared" si="33"/>
        <v>7.173452144475017</v>
      </c>
      <c r="G120" s="5">
        <f t="shared" si="33"/>
        <v>21.609448932968206</v>
      </c>
      <c r="H120" s="5">
        <f t="shared" si="33"/>
        <v>9.2611410614139782</v>
      </c>
      <c r="I120" s="5">
        <f t="shared" si="33"/>
        <v>29.557987116713484</v>
      </c>
      <c r="J120" s="5">
        <f t="shared" si="33"/>
        <v>45.399633879190475</v>
      </c>
      <c r="K120" s="5">
        <f t="shared" si="33"/>
        <v>198.21562525241549</v>
      </c>
      <c r="L120" s="12">
        <f t="shared" si="36"/>
        <v>338.55782741111534</v>
      </c>
      <c r="M120" s="10">
        <v>1</v>
      </c>
      <c r="N120" s="5">
        <f>D115+E115+H115+I115+D116+E116+H116+I116+D119+E119+H119+I119+D120+E120+H120+I120</f>
        <v>2716.6993688541911</v>
      </c>
      <c r="O120" s="5">
        <f>F115+G115+J115+K115+F116+G116+J116+K116+F119+G119+J119+K119+F120+G120+J120+K120</f>
        <v>894.14385526646049</v>
      </c>
      <c r="P120" s="10">
        <v>1</v>
      </c>
      <c r="Q120">
        <f>POWER(N9-N120,2)/N120</f>
        <v>1.4612567474582326E-2</v>
      </c>
      <c r="R120">
        <f>POWER(O9-O120,2)/O120</f>
        <v>1.1349560267142875</v>
      </c>
      <c r="S120" s="23">
        <f>Q120+R120+Q121+R121</f>
        <v>2.1142706576608963</v>
      </c>
      <c r="T120">
        <f>_xlfn.CHISQ.DIST(S120,1,TRUE)</f>
        <v>0.85406843789411857</v>
      </c>
      <c r="U120" s="23">
        <f>1-T120</f>
        <v>0.14593156210588143</v>
      </c>
      <c r="W120" s="1" t="s">
        <v>18</v>
      </c>
      <c r="X120" s="5">
        <f t="shared" si="34"/>
        <v>338.55782741111534</v>
      </c>
      <c r="Y120" s="5">
        <f>I120</f>
        <v>29.557987116713484</v>
      </c>
      <c r="Z120" s="5">
        <f t="shared" si="37"/>
        <v>308.99984029440185</v>
      </c>
      <c r="AA120" s="8">
        <f t="shared" si="35"/>
        <v>8.2120742737338548E-2</v>
      </c>
      <c r="AB120" s="8">
        <f t="shared" si="35"/>
        <v>2.5372470833383995</v>
      </c>
      <c r="AC120" s="7"/>
    </row>
    <row r="121" spans="1:29">
      <c r="A121" s="7"/>
      <c r="C121" s="1" t="s">
        <v>19</v>
      </c>
      <c r="D121" s="5">
        <f t="shared" si="33"/>
        <v>42.306463073606054</v>
      </c>
      <c r="E121" s="5">
        <f t="shared" si="33"/>
        <v>7.173452144475017</v>
      </c>
      <c r="F121" s="5">
        <f t="shared" si="33"/>
        <v>199.88556196998138</v>
      </c>
      <c r="G121" s="5">
        <f t="shared" si="33"/>
        <v>44.084866195878007</v>
      </c>
      <c r="H121" s="5">
        <f t="shared" si="33"/>
        <v>206.29798210299941</v>
      </c>
      <c r="I121" s="5">
        <f t="shared" si="33"/>
        <v>45.399633879190468</v>
      </c>
      <c r="J121" s="5">
        <f t="shared" si="33"/>
        <v>1841.6571051203282</v>
      </c>
      <c r="K121" s="5">
        <f t="shared" si="33"/>
        <v>407.68377140119514</v>
      </c>
      <c r="L121" s="12">
        <f t="shared" si="36"/>
        <v>2794.4888358876533</v>
      </c>
      <c r="M121" s="10">
        <v>2</v>
      </c>
      <c r="N121" s="5">
        <f>D117+E117+H117+I117+D118+E118+H118+I118+D121+E121+H121+I121+D122+E122+H122+I122</f>
        <v>894.14385526646049</v>
      </c>
      <c r="O121" s="5">
        <f>F117+G117+J117+K117+F118+G118+J118+K118+F121+G121+J121+K121+F122+G122+J122+K122</f>
        <v>5495.012920612885</v>
      </c>
      <c r="P121" s="10">
        <v>2</v>
      </c>
      <c r="Q121">
        <f>POWER(N10-N121,2)/N121</f>
        <v>0.94991907039307555</v>
      </c>
      <c r="R121">
        <f>POWER(O10-O121,2)/O121</f>
        <v>1.4782993078950984E-2</v>
      </c>
      <c r="W121" s="1" t="s">
        <v>19</v>
      </c>
      <c r="X121" s="5">
        <f t="shared" si="34"/>
        <v>2794.4888358876533</v>
      </c>
      <c r="Y121" s="5">
        <f>J121</f>
        <v>1841.6571051203282</v>
      </c>
      <c r="Z121" s="5">
        <f t="shared" si="37"/>
        <v>952.8317307673251</v>
      </c>
      <c r="AA121" s="8">
        <f t="shared" si="35"/>
        <v>0.29586981194732587</v>
      </c>
      <c r="AB121" s="8">
        <f t="shared" si="35"/>
        <v>2.8033288563872001E-2</v>
      </c>
      <c r="AC121" s="7"/>
    </row>
    <row r="122" spans="1:29">
      <c r="A122" s="7"/>
      <c r="C122" s="1" t="s">
        <v>20</v>
      </c>
      <c r="D122" s="5">
        <f t="shared" si="33"/>
        <v>7.1734521444750161</v>
      </c>
      <c r="E122" s="5">
        <f t="shared" si="33"/>
        <v>21.609448932968206</v>
      </c>
      <c r="F122" s="5">
        <f t="shared" si="33"/>
        <v>44.084866195878007</v>
      </c>
      <c r="G122" s="5">
        <f t="shared" si="33"/>
        <v>192.91338222699727</v>
      </c>
      <c r="H122" s="5">
        <f t="shared" si="33"/>
        <v>45.399633879190468</v>
      </c>
      <c r="I122" s="5">
        <f t="shared" si="33"/>
        <v>198.21562525241549</v>
      </c>
      <c r="J122" s="5">
        <f t="shared" si="33"/>
        <v>407.68377140119509</v>
      </c>
      <c r="K122" s="5">
        <f t="shared" si="33"/>
        <v>1790.8310657886484</v>
      </c>
      <c r="L122" s="12">
        <f t="shared" si="36"/>
        <v>2707.9112458217678</v>
      </c>
      <c r="M122" s="10" t="s">
        <v>41</v>
      </c>
      <c r="N122" s="10">
        <v>1</v>
      </c>
      <c r="O122" s="10">
        <v>2</v>
      </c>
      <c r="P122" s="10" t="s">
        <v>41</v>
      </c>
      <c r="Q122" s="10">
        <v>1</v>
      </c>
      <c r="R122" s="10">
        <v>2</v>
      </c>
      <c r="S122" s="10" t="s">
        <v>11</v>
      </c>
      <c r="T122" s="10" t="s">
        <v>42</v>
      </c>
      <c r="U122" s="10" t="s">
        <v>43</v>
      </c>
      <c r="W122" s="1" t="s">
        <v>20</v>
      </c>
      <c r="X122" s="5">
        <f t="shared" si="34"/>
        <v>2707.9112458217678</v>
      </c>
      <c r="Y122" s="5">
        <f>K122</f>
        <v>1790.8310657886484</v>
      </c>
      <c r="Z122" s="5">
        <f t="shared" si="37"/>
        <v>917.0801800331194</v>
      </c>
      <c r="AA122" s="8">
        <f t="shared" si="35"/>
        <v>1.593604685007982E-5</v>
      </c>
      <c r="AB122" s="8">
        <f t="shared" si="35"/>
        <v>0.1107973236281582</v>
      </c>
      <c r="AC122" s="7"/>
    </row>
    <row r="123" spans="1:29">
      <c r="A123" s="7"/>
      <c r="D123" s="12">
        <f>SUM(D115:D122)</f>
        <v>2395.7938996925513</v>
      </c>
      <c r="E123" s="12">
        <f t="shared" ref="E123:K123" si="38">SUM(E115:E122)</f>
        <v>302.64615014029948</v>
      </c>
      <c r="F123" s="12">
        <f t="shared" si="38"/>
        <v>558.14826283107186</v>
      </c>
      <c r="G123" s="12">
        <f t="shared" si="38"/>
        <v>328.60843133885203</v>
      </c>
      <c r="H123" s="12">
        <f t="shared" si="38"/>
        <v>573.84534687668554</v>
      </c>
      <c r="I123" s="12">
        <f t="shared" si="38"/>
        <v>338.55782741111534</v>
      </c>
      <c r="J123" s="12">
        <f t="shared" si="38"/>
        <v>2794.4888358876533</v>
      </c>
      <c r="K123" s="12">
        <f t="shared" si="38"/>
        <v>2707.9112458217683</v>
      </c>
      <c r="L123" s="1">
        <f t="shared" si="36"/>
        <v>9999.9999999999982</v>
      </c>
      <c r="M123" s="10">
        <v>1</v>
      </c>
      <c r="N123" s="5">
        <f>D115+F115+H115+J115+D117+F117+H117+J117+D119+F119+H119+J119+D121+F121+H121+J121</f>
        <v>5405.6913712196001</v>
      </c>
      <c r="O123" s="5">
        <f>E115+G115+I115+K115+E117+G117+I117+K117+E119+G119+I119+K119+E121+G121+I121+K121</f>
        <v>916.58497406836227</v>
      </c>
      <c r="P123" s="10">
        <v>1</v>
      </c>
      <c r="Q123">
        <f>POWER(N12-N123,2)/N123</f>
        <v>1.0943501427523461E-2</v>
      </c>
      <c r="R123">
        <f>POWER(O12-O123,2)/O123</f>
        <v>1.3683663787019797</v>
      </c>
      <c r="S123" s="23">
        <f>Q123+R123+Q124+R124</f>
        <v>2.402846664313345</v>
      </c>
      <c r="T123">
        <f>_xlfn.CHISQ.DIST(S123,1,TRUE)</f>
        <v>0.87888532124233731</v>
      </c>
      <c r="U123" s="23">
        <f>1-T123</f>
        <v>0.12111467875766269</v>
      </c>
      <c r="W123" s="1" t="s">
        <v>59</v>
      </c>
      <c r="X123" s="7">
        <f>SUM(X115:X122)</f>
        <v>9999.9999999999964</v>
      </c>
      <c r="Y123" s="7">
        <f>SUM(Y115:Y122)</f>
        <v>5532.373392398169</v>
      </c>
      <c r="Z123" s="7">
        <f>SUM(Z115:Z122)</f>
        <v>4467.6266076018283</v>
      </c>
      <c r="AA123" s="7">
        <f>SUM(AA115:AA122)</f>
        <v>1.4468757300000461</v>
      </c>
      <c r="AB123" s="7">
        <f>SUM(AB115:AB122)</f>
        <v>9.6820659046104858</v>
      </c>
      <c r="AC123" s="11">
        <f>SUM(AA123:AB123)</f>
        <v>11.128941634610532</v>
      </c>
    </row>
    <row r="124" spans="1:29">
      <c r="A124" s="7"/>
      <c r="M124" s="10">
        <v>2</v>
      </c>
      <c r="N124" s="5">
        <f>D116+F116+H116+J116+D118+F118+H118+J118+D120+F120+H120+J120+D122+F122+H122+J122</f>
        <v>916.58497406836227</v>
      </c>
      <c r="O124" s="5">
        <f>E116+G116+I116+K116+E118+G118+I118+K118+E120+G120+I120+K120+E122+G122+I122+K122</f>
        <v>2761.1386806436726</v>
      </c>
      <c r="P124" s="10">
        <v>2</v>
      </c>
      <c r="Q124">
        <f>POWER(N13-N124,2)/N124</f>
        <v>1.0205716493587467</v>
      </c>
      <c r="R124">
        <f>POWER(O13-O124,2)/O124</f>
        <v>2.9651348250951258E-3</v>
      </c>
      <c r="AC124" s="7" t="s">
        <v>51</v>
      </c>
    </row>
    <row r="125" spans="1:29">
      <c r="A125" s="7"/>
      <c r="C125" s="1" t="s">
        <v>35</v>
      </c>
      <c r="L125" s="7"/>
      <c r="M125" s="7"/>
      <c r="N125" s="7"/>
      <c r="O125" s="7"/>
      <c r="P125" s="7"/>
      <c r="Q125" s="7"/>
      <c r="R125" s="7"/>
      <c r="S125" s="7"/>
      <c r="T125" s="7"/>
      <c r="U125" s="7"/>
      <c r="V125" s="7"/>
      <c r="W125" s="7"/>
      <c r="X125" s="7"/>
      <c r="Y125" s="7"/>
      <c r="Z125" s="7"/>
      <c r="AA125" s="7"/>
      <c r="AB125" s="7"/>
      <c r="AC125" s="7"/>
    </row>
    <row r="126" spans="1:29">
      <c r="A126" s="7"/>
      <c r="C126" s="1"/>
      <c r="D126" s="1" t="s">
        <v>13</v>
      </c>
      <c r="E126" s="1" t="s">
        <v>14</v>
      </c>
      <c r="F126" s="1" t="s">
        <v>15</v>
      </c>
      <c r="G126" s="1" t="s">
        <v>16</v>
      </c>
      <c r="H126" s="1" t="s">
        <v>17</v>
      </c>
      <c r="I126" s="1" t="s">
        <v>18</v>
      </c>
      <c r="J126" s="1" t="s">
        <v>19</v>
      </c>
      <c r="K126" s="1" t="s">
        <v>20</v>
      </c>
      <c r="AC126" s="7"/>
    </row>
    <row r="127" spans="1:29">
      <c r="A127" s="7"/>
      <c r="C127" s="1" t="s">
        <v>13</v>
      </c>
      <c r="D127" s="8">
        <f>IF(D4&gt;0,D4*LN(D4/D115),0)</f>
        <v>-18.959040925954614</v>
      </c>
      <c r="E127" s="8">
        <f t="shared" ref="E127:K127" si="39">IF(E4&gt;0,E4*LN(E4/E115),0)</f>
        <v>32.006168669965184</v>
      </c>
      <c r="F127" s="8">
        <f t="shared" si="39"/>
        <v>5.6440188157870201</v>
      </c>
      <c r="G127" s="8">
        <f t="shared" si="39"/>
        <v>1.8609774220713289</v>
      </c>
      <c r="H127" s="8">
        <f t="shared" si="39"/>
        <v>11.682629124653497</v>
      </c>
      <c r="I127" s="8">
        <f t="shared" si="39"/>
        <v>-2.6078319120972719</v>
      </c>
      <c r="J127" s="8">
        <f t="shared" si="39"/>
        <v>-4.9588122637677756</v>
      </c>
      <c r="K127" s="8">
        <f t="shared" si="39"/>
        <v>0.87243625840021188</v>
      </c>
      <c r="L127" s="13">
        <f>SUM(D127:K127)</f>
        <v>25.540545189057582</v>
      </c>
      <c r="AC127" s="7"/>
    </row>
    <row r="128" spans="1:29">
      <c r="A128" s="7"/>
      <c r="C128" s="1" t="s">
        <v>14</v>
      </c>
      <c r="D128" s="8">
        <f t="shared" ref="D128:K134" si="40">IF(D5&gt;0,D5*LN(D5/D116),0)</f>
        <v>-18.189414087999253</v>
      </c>
      <c r="E128" s="8">
        <f t="shared" si="40"/>
        <v>-3.3851820429981085</v>
      </c>
      <c r="F128" s="8">
        <f t="shared" si="40"/>
        <v>10.33769710176202</v>
      </c>
      <c r="G128" s="8">
        <f t="shared" si="40"/>
        <v>4.5128371455910239</v>
      </c>
      <c r="H128" s="8">
        <f t="shared" si="40"/>
        <v>3.4295633634686484</v>
      </c>
      <c r="I128" s="8">
        <f t="shared" si="40"/>
        <v>-0.51752989745443367</v>
      </c>
      <c r="J128" s="8">
        <f t="shared" si="40"/>
        <v>2.0415381116076894</v>
      </c>
      <c r="K128" s="8">
        <f t="shared" si="40"/>
        <v>-5.476207028020057</v>
      </c>
      <c r="L128" s="13">
        <f t="shared" ref="L128:L134" si="41">SUM(D128:K128)</f>
        <v>-7.246697334042473</v>
      </c>
      <c r="AC128" s="7"/>
    </row>
    <row r="129" spans="1:29">
      <c r="A129" s="7"/>
      <c r="C129" s="1" t="s">
        <v>15</v>
      </c>
      <c r="D129" s="8">
        <f t="shared" si="40"/>
        <v>-21.946875770084091</v>
      </c>
      <c r="E129" s="8">
        <f t="shared" si="40"/>
        <v>0.80456556451938455</v>
      </c>
      <c r="F129" s="8">
        <f t="shared" si="40"/>
        <v>-3.1140841673404132</v>
      </c>
      <c r="G129" s="8">
        <f t="shared" si="40"/>
        <v>0.19114162570946877</v>
      </c>
      <c r="H129" s="8">
        <f t="shared" si="40"/>
        <v>-1.2860797596035789</v>
      </c>
      <c r="I129" s="8">
        <f t="shared" si="40"/>
        <v>4.7025908976041721</v>
      </c>
      <c r="J129" s="8">
        <f t="shared" si="40"/>
        <v>6.2070181679081093</v>
      </c>
      <c r="K129" s="8">
        <f t="shared" si="40"/>
        <v>-7.2935141377982138</v>
      </c>
      <c r="L129" s="13">
        <f t="shared" si="41"/>
        <v>-21.735237579085158</v>
      </c>
      <c r="AC129" s="7"/>
    </row>
    <row r="130" spans="1:29">
      <c r="A130" s="7"/>
      <c r="C130" s="1" t="s">
        <v>16</v>
      </c>
      <c r="D130" s="8">
        <f t="shared" si="40"/>
        <v>-3.782544237578561</v>
      </c>
      <c r="E130" s="8">
        <f t="shared" si="40"/>
        <v>-2.0053020945323206</v>
      </c>
      <c r="F130" s="8">
        <f t="shared" si="40"/>
        <v>1.2750816498306032</v>
      </c>
      <c r="G130" s="8">
        <f t="shared" si="40"/>
        <v>-0.3534944850980653</v>
      </c>
      <c r="H130" s="8">
        <f t="shared" si="40"/>
        <v>-1.0717652409105269</v>
      </c>
      <c r="I130" s="8">
        <f t="shared" si="40"/>
        <v>0.39405924187158564</v>
      </c>
      <c r="J130" s="8">
        <f t="shared" si="40"/>
        <v>-5.6441549594054159</v>
      </c>
      <c r="K130" s="8">
        <f t="shared" si="40"/>
        <v>-17.054680560865179</v>
      </c>
      <c r="L130" s="13">
        <f t="shared" si="41"/>
        <v>-28.242800686687879</v>
      </c>
      <c r="AC130" s="7"/>
    </row>
    <row r="131" spans="1:29">
      <c r="A131" s="7"/>
      <c r="C131" s="1" t="s">
        <v>17</v>
      </c>
      <c r="D131" s="8">
        <f t="shared" si="40"/>
        <v>14.880256897754739</v>
      </c>
      <c r="E131" s="8">
        <f t="shared" si="40"/>
        <v>-4.9456730894347736</v>
      </c>
      <c r="F131" s="8">
        <f t="shared" si="40"/>
        <v>-2.2424164642037132</v>
      </c>
      <c r="G131" s="8">
        <f t="shared" si="40"/>
        <v>-0.17133802227147271</v>
      </c>
      <c r="H131" s="8">
        <f t="shared" si="40"/>
        <v>4.0650492753269922E-2</v>
      </c>
      <c r="I131" s="8">
        <f t="shared" si="40"/>
        <v>0.76757827152778901</v>
      </c>
      <c r="J131" s="8">
        <f t="shared" si="40"/>
        <v>-4.2528961337871323</v>
      </c>
      <c r="K131" s="8">
        <f t="shared" si="40"/>
        <v>-0.39786979092543157</v>
      </c>
      <c r="L131" s="13">
        <f t="shared" si="41"/>
        <v>3.6782921614132733</v>
      </c>
      <c r="AC131" s="7"/>
    </row>
    <row r="132" spans="1:29">
      <c r="A132" s="7"/>
      <c r="C132" s="1" t="s">
        <v>18</v>
      </c>
      <c r="D132" s="8">
        <f t="shared" si="40"/>
        <v>-2.6078319120972671</v>
      </c>
      <c r="E132" s="8">
        <f t="shared" si="40"/>
        <v>4.3585261687010899</v>
      </c>
      <c r="F132" s="8">
        <f t="shared" si="40"/>
        <v>-1.0717652409105269</v>
      </c>
      <c r="G132" s="8">
        <f t="shared" si="40"/>
        <v>-1.5479679216577835</v>
      </c>
      <c r="H132" s="8">
        <f t="shared" si="40"/>
        <v>-1.1710857932914467</v>
      </c>
      <c r="I132" s="8">
        <f t="shared" si="40"/>
        <v>-1.5161856850688624</v>
      </c>
      <c r="J132" s="8">
        <f t="shared" si="40"/>
        <v>15.459970790330797</v>
      </c>
      <c r="K132" s="8">
        <f t="shared" si="40"/>
        <v>18.55935787208827</v>
      </c>
      <c r="L132" s="13">
        <f t="shared" si="41"/>
        <v>30.463018278094271</v>
      </c>
      <c r="AC132" s="7"/>
    </row>
    <row r="133" spans="1:29">
      <c r="A133" s="7"/>
      <c r="C133" s="1" t="s">
        <v>19</v>
      </c>
      <c r="D133" s="8">
        <f t="shared" si="40"/>
        <v>16.992349920584694</v>
      </c>
      <c r="E133" s="8">
        <f t="shared" si="40"/>
        <v>0.87243625840021188</v>
      </c>
      <c r="F133" s="8">
        <f t="shared" si="40"/>
        <v>-7.7279309965259451</v>
      </c>
      <c r="G133" s="8">
        <f t="shared" si="40"/>
        <v>-6.4823497077768195</v>
      </c>
      <c r="H133" s="8">
        <f t="shared" si="40"/>
        <v>-15.636537634447208</v>
      </c>
      <c r="I133" s="8">
        <f t="shared" si="40"/>
        <v>-4.1792109329940992</v>
      </c>
      <c r="J133" s="8">
        <f t="shared" si="40"/>
        <v>23.490208694771621</v>
      </c>
      <c r="K133" s="8">
        <f t="shared" si="40"/>
        <v>26.086485185336645</v>
      </c>
      <c r="L133" s="13">
        <f t="shared" si="41"/>
        <v>33.415450787349101</v>
      </c>
      <c r="AC133" s="7"/>
    </row>
    <row r="134" spans="1:29">
      <c r="A134" s="7"/>
      <c r="C134" s="1" t="s">
        <v>20</v>
      </c>
      <c r="D134" s="8">
        <f t="shared" si="40"/>
        <v>6.1742356848982922</v>
      </c>
      <c r="E134" s="8">
        <f t="shared" si="40"/>
        <v>-4.0785945348712893</v>
      </c>
      <c r="F134" s="8">
        <f t="shared" si="40"/>
        <v>3.0094592708101318</v>
      </c>
      <c r="G134" s="8">
        <f t="shared" si="40"/>
        <v>17.821910253692334</v>
      </c>
      <c r="H134" s="8">
        <f t="shared" si="40"/>
        <v>3.7394966141117965</v>
      </c>
      <c r="I134" s="8">
        <f t="shared" si="40"/>
        <v>0.78592466021758489</v>
      </c>
      <c r="J134" s="8">
        <f t="shared" si="40"/>
        <v>-33.16469228538228</v>
      </c>
      <c r="K134" s="8">
        <f t="shared" si="40"/>
        <v>0.16894217912445916</v>
      </c>
      <c r="L134" s="13">
        <f t="shared" si="41"/>
        <v>-5.5433181573989696</v>
      </c>
      <c r="AC134" s="7"/>
    </row>
    <row r="135" spans="1:29">
      <c r="A135" s="7"/>
      <c r="D135" s="13">
        <f>SUM(D127:D134)</f>
        <v>-27.438864430476059</v>
      </c>
      <c r="E135" s="13">
        <f t="shared" ref="E135:K135" si="42">SUM(E127:E134)</f>
        <v>23.626944899749379</v>
      </c>
      <c r="F135" s="13">
        <f t="shared" si="42"/>
        <v>6.1100599692091766</v>
      </c>
      <c r="G135" s="13">
        <f t="shared" si="42"/>
        <v>15.831716310260013</v>
      </c>
      <c r="H135" s="13">
        <f t="shared" si="42"/>
        <v>-0.27312883326554749</v>
      </c>
      <c r="I135" s="13">
        <f t="shared" si="42"/>
        <v>-2.1706053563935352</v>
      </c>
      <c r="J135" s="13">
        <f t="shared" si="42"/>
        <v>-0.82181987772438703</v>
      </c>
      <c r="K135" s="13">
        <f t="shared" si="42"/>
        <v>15.464949977340707</v>
      </c>
      <c r="L135" s="2">
        <f>2*SUM(L127:L134)</f>
        <v>60.658505317399488</v>
      </c>
      <c r="M135" t="s">
        <v>53</v>
      </c>
      <c r="AC135" s="7"/>
    </row>
    <row r="136" spans="1:29">
      <c r="A136" s="7"/>
      <c r="AC136" s="7"/>
    </row>
    <row r="137" spans="1:29">
      <c r="A137" s="7"/>
      <c r="AC137" s="7"/>
    </row>
    <row r="138" spans="1:29">
      <c r="A138" s="7"/>
      <c r="C138" t="s">
        <v>52</v>
      </c>
      <c r="AC138" s="7"/>
    </row>
    <row r="139" spans="1:29">
      <c r="A139" s="7"/>
      <c r="C139" s="1"/>
      <c r="D139" s="1" t="s">
        <v>13</v>
      </c>
      <c r="E139" s="1" t="s">
        <v>14</v>
      </c>
      <c r="F139" s="1" t="s">
        <v>15</v>
      </c>
      <c r="G139" s="1" t="s">
        <v>16</v>
      </c>
      <c r="H139" s="1" t="s">
        <v>17</v>
      </c>
      <c r="I139" s="1" t="s">
        <v>18</v>
      </c>
      <c r="J139" s="1" t="s">
        <v>19</v>
      </c>
      <c r="K139" s="1" t="s">
        <v>20</v>
      </c>
      <c r="L139" s="7"/>
      <c r="AC139" s="7"/>
    </row>
    <row r="140" spans="1:29">
      <c r="A140" s="7"/>
      <c r="C140" s="1" t="s">
        <v>13</v>
      </c>
      <c r="D140" s="8">
        <f>POWER(D4-D115,2)/D115</f>
        <v>0.21069691219431713</v>
      </c>
      <c r="E140" s="8">
        <f t="shared" ref="E140:K140" si="43">POWER(E4-E115,2)/E115</f>
        <v>4.540301360912915</v>
      </c>
      <c r="F140" s="8">
        <f t="shared" si="43"/>
        <v>0.16089447177699509</v>
      </c>
      <c r="G140" s="8">
        <f t="shared" si="43"/>
        <v>0.14437385657562074</v>
      </c>
      <c r="H140" s="8">
        <f t="shared" si="43"/>
        <v>0.68261317832941681</v>
      </c>
      <c r="I140" s="8">
        <f t="shared" si="43"/>
        <v>0.35849844809117876</v>
      </c>
      <c r="J140" s="8">
        <f t="shared" si="43"/>
        <v>0.66558507390593047</v>
      </c>
      <c r="K140" s="8">
        <f t="shared" si="43"/>
        <v>9.5237459414730122E-2</v>
      </c>
      <c r="L140" s="14">
        <f>SUM(D140:K140)</f>
        <v>6.858200761201104</v>
      </c>
      <c r="AC140" s="7"/>
    </row>
    <row r="141" spans="1:29">
      <c r="A141" s="7"/>
      <c r="C141" s="1" t="s">
        <v>14</v>
      </c>
      <c r="D141" s="8">
        <f t="shared" ref="D141:K147" si="44">POWER(D5-D116,2)/D116</f>
        <v>1.870881681771916</v>
      </c>
      <c r="E141" s="8">
        <f t="shared" si="44"/>
        <v>0.60472648990247813</v>
      </c>
      <c r="F141" s="8">
        <f t="shared" si="44"/>
        <v>3.479419806910895</v>
      </c>
      <c r="G141" s="8">
        <f t="shared" si="44"/>
        <v>2.3106667779821133</v>
      </c>
      <c r="H141" s="8">
        <f t="shared" si="44"/>
        <v>0.47121448372245461</v>
      </c>
      <c r="I141" s="8">
        <f t="shared" si="44"/>
        <v>5.3615280542614399E-2</v>
      </c>
      <c r="J141" s="8">
        <f t="shared" si="44"/>
        <v>0.46508668369559136</v>
      </c>
      <c r="K141" s="8">
        <f t="shared" si="44"/>
        <v>2.0215608150408411</v>
      </c>
      <c r="L141" s="14">
        <f t="shared" ref="L141:L147" si="45">SUM(D141:K141)</f>
        <v>11.277172019568903</v>
      </c>
      <c r="AC141" s="7"/>
    </row>
    <row r="142" spans="1:29">
      <c r="A142" s="7"/>
      <c r="C142" s="1" t="s">
        <v>15</v>
      </c>
      <c r="D142" s="8">
        <f t="shared" si="44"/>
        <v>2.8540985495361682</v>
      </c>
      <c r="E142" s="8">
        <f t="shared" si="44"/>
        <v>2.8147467833392455E-2</v>
      </c>
      <c r="F142" s="8">
        <f t="shared" si="44"/>
        <v>0.24878650544845149</v>
      </c>
      <c r="G142" s="8">
        <f t="shared" si="44"/>
        <v>4.5671073940487797E-3</v>
      </c>
      <c r="H142" s="8">
        <f t="shared" si="44"/>
        <v>4.0344799321242124E-2</v>
      </c>
      <c r="I142" s="8">
        <f t="shared" si="44"/>
        <v>2.0412025055329122</v>
      </c>
      <c r="J142" s="8">
        <f t="shared" si="44"/>
        <v>0.18703878386450423</v>
      </c>
      <c r="K142" s="8">
        <f t="shared" si="44"/>
        <v>1.4827097606425905</v>
      </c>
      <c r="L142" s="14">
        <f t="shared" si="45"/>
        <v>6.8868954795733108</v>
      </c>
      <c r="AC142" s="7"/>
    </row>
    <row r="143" spans="1:29">
      <c r="A143" s="7"/>
      <c r="C143" s="1" t="s">
        <v>16</v>
      </c>
      <c r="D143" s="8">
        <f t="shared" si="44"/>
        <v>0.79779832544707752</v>
      </c>
      <c r="E143" s="8">
        <f t="shared" si="44"/>
        <v>2.1848062992180739</v>
      </c>
      <c r="F143" s="8">
        <f t="shared" si="44"/>
        <v>0.18095050143928185</v>
      </c>
      <c r="G143" s="8">
        <f t="shared" si="44"/>
        <v>4.6281531828681879E-3</v>
      </c>
      <c r="H143" s="8">
        <f t="shared" si="44"/>
        <v>0.19195638412860563</v>
      </c>
      <c r="I143" s="8">
        <f t="shared" si="44"/>
        <v>7.0584926266660519E-3</v>
      </c>
      <c r="J143" s="8">
        <f t="shared" si="44"/>
        <v>0.83987090847064505</v>
      </c>
      <c r="K143" s="8">
        <f t="shared" si="44"/>
        <v>1.6633851892810616</v>
      </c>
      <c r="L143" s="14">
        <f t="shared" si="45"/>
        <v>5.8704542537942794</v>
      </c>
      <c r="AC143" s="7"/>
    </row>
    <row r="144" spans="1:29">
      <c r="A144" s="7"/>
      <c r="C144" s="1" t="s">
        <v>17</v>
      </c>
      <c r="D144" s="8">
        <f t="shared" si="44"/>
        <v>1.0912374756111949</v>
      </c>
      <c r="E144" s="8">
        <f t="shared" si="44"/>
        <v>1.5409409339196469</v>
      </c>
      <c r="F144" s="8">
        <f t="shared" si="44"/>
        <v>0.12574371676149776</v>
      </c>
      <c r="G144" s="8">
        <f t="shared" si="44"/>
        <v>4.194026225734857E-3</v>
      </c>
      <c r="H144" s="8">
        <f t="shared" si="44"/>
        <v>3.1178540416836781E-5</v>
      </c>
      <c r="I144" s="8">
        <f t="shared" si="44"/>
        <v>5.8946573376684269E-2</v>
      </c>
      <c r="J144" s="8">
        <f t="shared" si="44"/>
        <v>8.9543532948763022E-2</v>
      </c>
      <c r="K144" s="8">
        <f t="shared" si="44"/>
        <v>3.5178089281911792E-3</v>
      </c>
      <c r="L144" s="14">
        <f t="shared" si="45"/>
        <v>2.9141552463121294</v>
      </c>
      <c r="AC144" s="7"/>
    </row>
    <row r="145" spans="1:29">
      <c r="A145" s="7"/>
      <c r="C145" s="1" t="s">
        <v>18</v>
      </c>
      <c r="D145" s="8">
        <f t="shared" si="44"/>
        <v>0.35849844809117792</v>
      </c>
      <c r="E145" s="8">
        <f t="shared" si="44"/>
        <v>2.1523263499200516</v>
      </c>
      <c r="F145" s="8">
        <f t="shared" si="44"/>
        <v>0.19195638412860563</v>
      </c>
      <c r="G145" s="8">
        <f t="shared" si="44"/>
        <v>0.11987005665288376</v>
      </c>
      <c r="H145" s="8">
        <f t="shared" si="44"/>
        <v>0.17173658907011008</v>
      </c>
      <c r="I145" s="8">
        <f t="shared" si="44"/>
        <v>8.2120742737338548E-2</v>
      </c>
      <c r="J145" s="8">
        <f t="shared" si="44"/>
        <v>4.0742610196433091</v>
      </c>
      <c r="K145" s="8">
        <f t="shared" si="44"/>
        <v>1.5956561686786961</v>
      </c>
      <c r="L145" s="14">
        <f t="shared" si="45"/>
        <v>8.7464257589221734</v>
      </c>
      <c r="AC145" s="7"/>
    </row>
    <row r="146" spans="1:29">
      <c r="A146" s="7"/>
      <c r="C146" s="1" t="s">
        <v>19</v>
      </c>
      <c r="D146" s="8">
        <f t="shared" si="44"/>
        <v>5.1032398296135781</v>
      </c>
      <c r="E146" s="8">
        <f t="shared" si="44"/>
        <v>9.5237459414730122E-2</v>
      </c>
      <c r="F146" s="8">
        <f t="shared" si="44"/>
        <v>0.31108843965306054</v>
      </c>
      <c r="G146" s="8">
        <f t="shared" si="44"/>
        <v>1.1386068132875093</v>
      </c>
      <c r="H146" s="8">
        <f t="shared" si="44"/>
        <v>1.2875754669140178</v>
      </c>
      <c r="I146" s="8">
        <f t="shared" si="44"/>
        <v>0.42636419320978269</v>
      </c>
      <c r="J146" s="8">
        <f t="shared" si="44"/>
        <v>0.29586981194732587</v>
      </c>
      <c r="K146" s="8">
        <f t="shared" si="44"/>
        <v>1.5720798212402574</v>
      </c>
      <c r="L146" s="14">
        <f t="shared" si="45"/>
        <v>10.23006183528026</v>
      </c>
      <c r="AC146" s="7"/>
    </row>
    <row r="147" spans="1:29">
      <c r="A147" s="7"/>
      <c r="C147" s="1" t="s">
        <v>20</v>
      </c>
      <c r="D147" s="8">
        <f t="shared" si="44"/>
        <v>3.2474691030893732</v>
      </c>
      <c r="E147" s="8">
        <f t="shared" si="44"/>
        <v>0.9832281948303857</v>
      </c>
      <c r="F147" s="8">
        <f t="shared" si="44"/>
        <v>0.19276467933862837</v>
      </c>
      <c r="G147" s="8">
        <f t="shared" si="44"/>
        <v>1.5133864926859149</v>
      </c>
      <c r="H147" s="8">
        <f t="shared" si="44"/>
        <v>0.28552292378319549</v>
      </c>
      <c r="I147" s="8">
        <f t="shared" si="44"/>
        <v>3.1039114291054751E-3</v>
      </c>
      <c r="J147" s="8">
        <f t="shared" si="44"/>
        <v>2.9507281942467625</v>
      </c>
      <c r="K147" s="8">
        <f t="shared" si="44"/>
        <v>1.593604685007982E-5</v>
      </c>
      <c r="L147" s="14">
        <f t="shared" si="45"/>
        <v>9.176219435450216</v>
      </c>
      <c r="N147">
        <f>_xlfn.CHISQ.DIST(L148,63-10,TRUE)</f>
        <v>0.81312531919218944</v>
      </c>
      <c r="AC147" s="7"/>
    </row>
    <row r="148" spans="1:29">
      <c r="A148" s="7"/>
      <c r="B148" s="7"/>
      <c r="C148" s="7"/>
      <c r="D148" s="14">
        <f>SUM(D140:D147)</f>
        <v>15.533920325354803</v>
      </c>
      <c r="E148" s="14">
        <f t="shared" ref="E148:L148" si="46">SUM(E140:E147)</f>
        <v>12.129714555951672</v>
      </c>
      <c r="F148" s="14">
        <f t="shared" si="46"/>
        <v>4.8916045054574164</v>
      </c>
      <c r="G148" s="14">
        <f t="shared" si="46"/>
        <v>5.240293283986694</v>
      </c>
      <c r="H148" s="14">
        <f t="shared" si="46"/>
        <v>3.1309950038094594</v>
      </c>
      <c r="I148" s="14">
        <f t="shared" si="46"/>
        <v>3.0309101475462819</v>
      </c>
      <c r="J148" s="14">
        <f t="shared" si="46"/>
        <v>9.5679840087228314</v>
      </c>
      <c r="K148" s="14">
        <f t="shared" si="46"/>
        <v>8.4341629592732179</v>
      </c>
      <c r="L148" s="15">
        <f t="shared" si="46"/>
        <v>61.959584790102369</v>
      </c>
      <c r="M148" t="s">
        <v>11</v>
      </c>
      <c r="N148" s="7">
        <f>1-N147</f>
        <v>0.18687468080781056</v>
      </c>
      <c r="O148" s="7" t="s">
        <v>61</v>
      </c>
      <c r="P148" s="7"/>
      <c r="Q148" s="7"/>
      <c r="R148" s="7"/>
      <c r="S148" s="7"/>
      <c r="T148" s="7"/>
      <c r="U148" s="7"/>
      <c r="V148" s="7"/>
      <c r="W148" s="7"/>
      <c r="X148" s="7"/>
      <c r="Y148" s="7"/>
      <c r="Z148" s="7"/>
      <c r="AA148" s="7"/>
      <c r="AB148" s="7"/>
      <c r="AC148" s="7"/>
    </row>
  </sheetData>
  <pageMargins left="0.7" right="0.7" top="0.75" bottom="0.75" header="0.3" footer="0.3"/>
  <pageSetup orientation="portrait" horizontalDpi="4294967292" verticalDpi="429496729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
  <sheetViews>
    <sheetView workbookViewId="0">
      <selection activeCell="A2" sqref="A2"/>
    </sheetView>
  </sheetViews>
  <sheetFormatPr baseColWidth="10" defaultRowHeight="14" x14ac:dyDescent="0"/>
  <sheetData>
    <row r="2" spans="1:1" ht="15">
      <c r="A2" s="39" t="s">
        <v>112</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48"/>
  <sheetViews>
    <sheetView workbookViewId="0">
      <selection sqref="A1:XFD1"/>
    </sheetView>
  </sheetViews>
  <sheetFormatPr baseColWidth="10" defaultColWidth="8.83203125" defaultRowHeight="14" x14ac:dyDescent="0"/>
  <sheetData>
    <row r="1" spans="1:29">
      <c r="A1" s="16" t="s">
        <v>0</v>
      </c>
      <c r="B1" s="16" t="s">
        <v>1</v>
      </c>
      <c r="C1" s="16" t="s">
        <v>2</v>
      </c>
      <c r="D1" s="16" t="s">
        <v>3</v>
      </c>
      <c r="E1" s="16" t="s">
        <v>4</v>
      </c>
      <c r="F1" s="16" t="s">
        <v>5</v>
      </c>
      <c r="G1" s="16" t="s">
        <v>6</v>
      </c>
      <c r="H1" s="16" t="s">
        <v>7</v>
      </c>
      <c r="I1" s="16" t="s">
        <v>8</v>
      </c>
      <c r="J1" s="16" t="s">
        <v>9</v>
      </c>
      <c r="K1" s="16" t="s">
        <v>10</v>
      </c>
      <c r="L1" s="7"/>
      <c r="M1" s="7"/>
      <c r="N1" s="7"/>
      <c r="O1" s="7"/>
      <c r="P1" s="7"/>
      <c r="Q1" s="7"/>
      <c r="R1" s="7"/>
      <c r="S1" s="7"/>
      <c r="T1" s="7"/>
      <c r="U1" s="7"/>
      <c r="V1" s="7"/>
      <c r="W1" s="7"/>
      <c r="X1" s="7"/>
      <c r="Y1" s="7"/>
      <c r="Z1" s="7"/>
      <c r="AA1" s="7"/>
      <c r="AB1" s="7"/>
      <c r="AC1" s="7"/>
    </row>
    <row r="2" spans="1:29">
      <c r="A2" s="18">
        <v>9.8762503092967663E-2</v>
      </c>
      <c r="B2" s="18">
        <v>9.8434271896541442E-2</v>
      </c>
      <c r="C2" s="18">
        <v>9.983594091011963E-2</v>
      </c>
      <c r="D2" s="18">
        <v>7.7789957312712364E-4</v>
      </c>
      <c r="E2" s="18">
        <v>0.2666351878891754</v>
      </c>
      <c r="F2" s="18">
        <v>0</v>
      </c>
      <c r="G2" s="18">
        <v>1.3005565298971483E-3</v>
      </c>
      <c r="H2" s="18">
        <v>0.2458041862306769</v>
      </c>
      <c r="I2" s="18">
        <v>0.24702340165895875</v>
      </c>
      <c r="J2" s="18">
        <v>0.23845876811816466</v>
      </c>
      <c r="K2" s="18">
        <v>0</v>
      </c>
      <c r="L2" s="1">
        <v>1</v>
      </c>
      <c r="N2" t="s">
        <v>36</v>
      </c>
      <c r="O2" s="4">
        <v>0.68859999999999999</v>
      </c>
      <c r="P2" s="4">
        <v>0.6845</v>
      </c>
      <c r="Y2" t="s">
        <v>85</v>
      </c>
      <c r="AC2" s="7"/>
    </row>
    <row r="3" spans="1:29">
      <c r="A3" t="s">
        <v>95</v>
      </c>
      <c r="B3" s="20">
        <v>59.494704318841571</v>
      </c>
      <c r="C3" s="17" t="s">
        <v>12</v>
      </c>
      <c r="D3" s="1" t="s">
        <v>13</v>
      </c>
      <c r="E3" s="1" t="s">
        <v>14</v>
      </c>
      <c r="F3" s="1" t="s">
        <v>15</v>
      </c>
      <c r="G3" s="1" t="s">
        <v>16</v>
      </c>
      <c r="H3" s="1" t="s">
        <v>17</v>
      </c>
      <c r="I3" s="1" t="s">
        <v>18</v>
      </c>
      <c r="J3" s="1" t="s">
        <v>19</v>
      </c>
      <c r="K3" s="1" t="s">
        <v>20</v>
      </c>
      <c r="L3" s="1"/>
      <c r="N3" t="s">
        <v>37</v>
      </c>
      <c r="O3" s="4">
        <v>0.28860000000000002</v>
      </c>
      <c r="P3" s="4">
        <v>0.28960000000000002</v>
      </c>
      <c r="Q3" t="s">
        <v>55</v>
      </c>
      <c r="Y3" s="1" t="s">
        <v>12</v>
      </c>
      <c r="Z3" t="s">
        <v>47</v>
      </c>
      <c r="AA3" t="s">
        <v>48</v>
      </c>
      <c r="AB3" t="s">
        <v>49</v>
      </c>
      <c r="AC3" s="7"/>
    </row>
    <row r="4" spans="1:29">
      <c r="A4" t="s">
        <v>21</v>
      </c>
      <c r="B4">
        <v>0.25113325720016794</v>
      </c>
      <c r="C4" s="1" t="s">
        <v>13</v>
      </c>
      <c r="D4" s="24">
        <v>39</v>
      </c>
      <c r="E4" s="24">
        <v>192</v>
      </c>
      <c r="F4" s="24">
        <v>6</v>
      </c>
      <c r="G4" s="24">
        <v>22</v>
      </c>
      <c r="H4" s="24">
        <v>146</v>
      </c>
      <c r="I4" s="24">
        <v>41</v>
      </c>
      <c r="J4" s="24">
        <v>24</v>
      </c>
      <c r="K4" s="24">
        <v>8</v>
      </c>
      <c r="L4" s="1">
        <v>478</v>
      </c>
      <c r="N4" t="s">
        <v>38</v>
      </c>
      <c r="O4" s="4">
        <v>0.50700000000000001</v>
      </c>
      <c r="P4" s="4">
        <v>0.5141</v>
      </c>
      <c r="Q4" t="s">
        <v>56</v>
      </c>
      <c r="T4" t="s">
        <v>44</v>
      </c>
      <c r="V4" t="s">
        <v>57</v>
      </c>
      <c r="Y4" s="1" t="s">
        <v>13</v>
      </c>
      <c r="Z4">
        <v>478</v>
      </c>
      <c r="AA4">
        <v>39</v>
      </c>
      <c r="AB4">
        <v>439</v>
      </c>
      <c r="AC4" s="7"/>
    </row>
    <row r="5" spans="1:29">
      <c r="C5" s="1" t="s">
        <v>14</v>
      </c>
      <c r="D5" s="24">
        <v>158</v>
      </c>
      <c r="E5" s="24">
        <v>1416</v>
      </c>
      <c r="F5" s="24">
        <v>16</v>
      </c>
      <c r="G5" s="24">
        <v>160</v>
      </c>
      <c r="H5" s="24">
        <v>56</v>
      </c>
      <c r="I5" s="24">
        <v>326</v>
      </c>
      <c r="J5" s="24">
        <v>5</v>
      </c>
      <c r="K5" s="24">
        <v>34</v>
      </c>
      <c r="L5" s="1">
        <v>2171</v>
      </c>
      <c r="M5" s="10" t="s">
        <v>39</v>
      </c>
      <c r="N5" s="10">
        <v>1</v>
      </c>
      <c r="O5" s="10">
        <v>2</v>
      </c>
      <c r="P5" s="10" t="s">
        <v>39</v>
      </c>
      <c r="Q5" s="10">
        <v>1</v>
      </c>
      <c r="R5" s="10">
        <v>2</v>
      </c>
      <c r="S5" s="10" t="s">
        <v>39</v>
      </c>
      <c r="T5" s="10">
        <v>1</v>
      </c>
      <c r="U5" s="10">
        <v>2</v>
      </c>
      <c r="V5" s="10" t="s">
        <v>11</v>
      </c>
      <c r="W5" t="s">
        <v>42</v>
      </c>
      <c r="X5" t="s">
        <v>43</v>
      </c>
      <c r="Y5" s="1" t="s">
        <v>14</v>
      </c>
      <c r="Z5">
        <v>2171</v>
      </c>
      <c r="AA5">
        <v>1416</v>
      </c>
      <c r="AB5">
        <v>755</v>
      </c>
      <c r="AC5" s="7"/>
    </row>
    <row r="6" spans="1:29">
      <c r="A6" t="s">
        <v>22</v>
      </c>
      <c r="B6" s="19">
        <v>9.8762503092967663E-2</v>
      </c>
      <c r="C6" s="1" t="s">
        <v>15</v>
      </c>
      <c r="D6" s="24">
        <v>2</v>
      </c>
      <c r="E6" s="24">
        <v>14</v>
      </c>
      <c r="F6" s="24">
        <v>14</v>
      </c>
      <c r="G6" s="24">
        <v>5</v>
      </c>
      <c r="H6" s="24">
        <v>33</v>
      </c>
      <c r="I6" s="24">
        <v>8</v>
      </c>
      <c r="J6" s="24">
        <v>125</v>
      </c>
      <c r="K6" s="24">
        <v>14</v>
      </c>
      <c r="L6" s="1">
        <v>215</v>
      </c>
      <c r="M6" s="10">
        <v>1</v>
      </c>
      <c r="N6">
        <v>2247</v>
      </c>
      <c r="O6">
        <v>867</v>
      </c>
      <c r="P6" s="10">
        <v>1</v>
      </c>
      <c r="Q6">
        <v>982.46699999999998</v>
      </c>
      <c r="R6">
        <v>2131.5329999999999</v>
      </c>
      <c r="S6" s="10">
        <v>1</v>
      </c>
      <c r="T6">
        <v>1627.5800694466072</v>
      </c>
      <c r="U6">
        <v>750.18482382820252</v>
      </c>
      <c r="V6" s="23">
        <v>3453.0422498908074</v>
      </c>
      <c r="W6">
        <v>1</v>
      </c>
      <c r="X6" s="23">
        <v>0</v>
      </c>
      <c r="Y6" s="1" t="s">
        <v>15</v>
      </c>
      <c r="Z6">
        <v>215</v>
      </c>
      <c r="AA6">
        <v>14</v>
      </c>
      <c r="AB6">
        <v>201</v>
      </c>
      <c r="AC6" s="7"/>
    </row>
    <row r="7" spans="1:29">
      <c r="A7" t="s">
        <v>23</v>
      </c>
      <c r="B7" s="19">
        <v>9.8434271896541442E-2</v>
      </c>
      <c r="C7" s="1" t="s">
        <v>16</v>
      </c>
      <c r="D7" s="24">
        <v>13</v>
      </c>
      <c r="E7" s="24">
        <v>159</v>
      </c>
      <c r="F7" s="24">
        <v>7</v>
      </c>
      <c r="G7" s="24">
        <v>24</v>
      </c>
      <c r="H7" s="24">
        <v>6</v>
      </c>
      <c r="I7" s="24">
        <v>30</v>
      </c>
      <c r="J7" s="24">
        <v>9</v>
      </c>
      <c r="K7" s="24">
        <v>2</v>
      </c>
      <c r="L7" s="1">
        <v>250</v>
      </c>
      <c r="M7" s="10">
        <v>2</v>
      </c>
      <c r="N7">
        <v>908</v>
      </c>
      <c r="O7">
        <v>5978</v>
      </c>
      <c r="P7" s="10">
        <v>2</v>
      </c>
      <c r="Q7">
        <v>2172.5329999999999</v>
      </c>
      <c r="R7">
        <v>4713.4669999999996</v>
      </c>
      <c r="S7" s="10">
        <v>2</v>
      </c>
      <c r="T7">
        <v>736.02735060365012</v>
      </c>
      <c r="U7">
        <v>339.2500060123474</v>
      </c>
      <c r="Y7" s="1" t="s">
        <v>16</v>
      </c>
      <c r="Z7">
        <v>250</v>
      </c>
      <c r="AA7">
        <v>24</v>
      </c>
      <c r="AB7">
        <v>226</v>
      </c>
      <c r="AC7" s="7"/>
    </row>
    <row r="8" spans="1:29">
      <c r="A8" t="s">
        <v>24</v>
      </c>
      <c r="B8" s="19">
        <v>9.983594091011963E-2</v>
      </c>
      <c r="C8" s="1" t="s">
        <v>17</v>
      </c>
      <c r="D8" s="24">
        <v>162</v>
      </c>
      <c r="E8" s="24">
        <v>53</v>
      </c>
      <c r="F8" s="24">
        <v>34</v>
      </c>
      <c r="G8" s="24">
        <v>5</v>
      </c>
      <c r="H8" s="24">
        <v>1347</v>
      </c>
      <c r="I8" s="24">
        <v>282</v>
      </c>
      <c r="J8" s="24">
        <v>274</v>
      </c>
      <c r="K8" s="24">
        <v>53</v>
      </c>
      <c r="L8" s="1">
        <v>2210</v>
      </c>
      <c r="M8" s="10" t="s">
        <v>40</v>
      </c>
      <c r="N8">
        <v>1</v>
      </c>
      <c r="O8">
        <v>2</v>
      </c>
      <c r="P8" s="10" t="s">
        <v>40</v>
      </c>
      <c r="S8" s="10" t="s">
        <v>40</v>
      </c>
      <c r="Y8" s="1" t="s">
        <v>17</v>
      </c>
      <c r="Z8">
        <v>2210</v>
      </c>
      <c r="AA8">
        <v>1347</v>
      </c>
      <c r="AB8">
        <v>863</v>
      </c>
      <c r="AC8" s="7"/>
    </row>
    <row r="9" spans="1:29">
      <c r="C9" s="1" t="s">
        <v>18</v>
      </c>
      <c r="D9" s="24">
        <v>50</v>
      </c>
      <c r="E9" s="24">
        <v>312</v>
      </c>
      <c r="F9" s="24">
        <v>6</v>
      </c>
      <c r="G9" s="24">
        <v>29</v>
      </c>
      <c r="H9" s="24">
        <v>272</v>
      </c>
      <c r="I9" s="24">
        <v>1369</v>
      </c>
      <c r="J9" s="24">
        <v>63</v>
      </c>
      <c r="K9" s="24">
        <v>154</v>
      </c>
      <c r="L9" s="1">
        <v>2255</v>
      </c>
      <c r="M9" s="10">
        <v>1</v>
      </c>
      <c r="N9">
        <v>6221</v>
      </c>
      <c r="O9">
        <v>893</v>
      </c>
      <c r="P9" s="10">
        <v>1</v>
      </c>
      <c r="Q9">
        <v>5053.7856000000002</v>
      </c>
      <c r="R9">
        <v>2060.2143999999998</v>
      </c>
      <c r="S9" s="10">
        <v>1</v>
      </c>
      <c r="T9">
        <v>269.57800813064955</v>
      </c>
      <c r="U9">
        <v>661.28527961330622</v>
      </c>
      <c r="V9" s="23">
        <v>3225.4445174773236</v>
      </c>
      <c r="W9">
        <v>1</v>
      </c>
      <c r="X9" s="23">
        <v>0</v>
      </c>
      <c r="Y9" s="1" t="s">
        <v>18</v>
      </c>
      <c r="Z9">
        <v>2255</v>
      </c>
      <c r="AA9">
        <v>1369</v>
      </c>
      <c r="AB9">
        <v>886</v>
      </c>
      <c r="AC9" s="7"/>
    </row>
    <row r="10" spans="1:29">
      <c r="A10" s="7"/>
      <c r="C10" s="1" t="s">
        <v>19</v>
      </c>
      <c r="D10" s="24">
        <v>28</v>
      </c>
      <c r="E10" s="24">
        <v>6</v>
      </c>
      <c r="F10" s="24">
        <v>153</v>
      </c>
      <c r="G10" s="24">
        <v>18</v>
      </c>
      <c r="H10" s="24">
        <v>310</v>
      </c>
      <c r="I10" s="24">
        <v>55</v>
      </c>
      <c r="J10" s="24">
        <v>1300</v>
      </c>
      <c r="K10" s="24">
        <v>157</v>
      </c>
      <c r="L10" s="1">
        <v>2027</v>
      </c>
      <c r="M10" s="10">
        <v>2</v>
      </c>
      <c r="N10">
        <v>883</v>
      </c>
      <c r="O10">
        <v>2003</v>
      </c>
      <c r="P10" s="10">
        <v>2</v>
      </c>
      <c r="Q10">
        <v>2050.2143999999998</v>
      </c>
      <c r="R10">
        <v>835.78560000000004</v>
      </c>
      <c r="S10" s="10">
        <v>2</v>
      </c>
      <c r="T10">
        <v>664.5107241307835</v>
      </c>
      <c r="U10">
        <v>1630.0705056025847</v>
      </c>
      <c r="Y10" s="1" t="s">
        <v>19</v>
      </c>
      <c r="Z10">
        <v>2027</v>
      </c>
      <c r="AA10">
        <v>1300</v>
      </c>
      <c r="AB10">
        <v>727</v>
      </c>
      <c r="AC10" s="7"/>
    </row>
    <row r="11" spans="1:29">
      <c r="A11" s="7">
        <v>0</v>
      </c>
      <c r="B11" s="6">
        <v>0</v>
      </c>
      <c r="C11" s="1" t="s">
        <v>20</v>
      </c>
      <c r="D11" s="24">
        <v>6</v>
      </c>
      <c r="E11" s="24">
        <v>22</v>
      </c>
      <c r="F11" s="24">
        <v>19</v>
      </c>
      <c r="G11" s="24">
        <v>5</v>
      </c>
      <c r="H11" s="24">
        <v>50</v>
      </c>
      <c r="I11" s="24">
        <v>141</v>
      </c>
      <c r="J11" s="24">
        <v>126</v>
      </c>
      <c r="K11" s="24">
        <v>25</v>
      </c>
      <c r="L11" s="1">
        <v>394</v>
      </c>
      <c r="M11" s="10" t="s">
        <v>41</v>
      </c>
      <c r="N11">
        <v>1</v>
      </c>
      <c r="O11">
        <v>2</v>
      </c>
      <c r="P11" s="10" t="s">
        <v>41</v>
      </c>
      <c r="S11" s="10" t="s">
        <v>41</v>
      </c>
      <c r="Y11" s="1" t="s">
        <v>20</v>
      </c>
      <c r="Z11">
        <v>394</v>
      </c>
      <c r="AA11">
        <v>25</v>
      </c>
      <c r="AB11">
        <v>369</v>
      </c>
      <c r="AC11" s="7"/>
    </row>
    <row r="12" spans="1:29">
      <c r="A12" s="7"/>
      <c r="B12" s="6"/>
      <c r="C12" s="1"/>
      <c r="D12" s="1">
        <v>458</v>
      </c>
      <c r="E12" s="1">
        <v>2174</v>
      </c>
      <c r="F12" s="1">
        <v>255</v>
      </c>
      <c r="G12" s="1">
        <v>268</v>
      </c>
      <c r="H12" s="1">
        <v>2220</v>
      </c>
      <c r="I12" s="1">
        <v>2252</v>
      </c>
      <c r="J12" s="1">
        <v>1926</v>
      </c>
      <c r="K12" s="1">
        <v>447</v>
      </c>
      <c r="L12" s="1">
        <v>10000</v>
      </c>
      <c r="M12" s="10">
        <v>1</v>
      </c>
      <c r="N12">
        <v>3997</v>
      </c>
      <c r="O12">
        <v>933</v>
      </c>
      <c r="P12" s="10">
        <v>1</v>
      </c>
      <c r="Q12">
        <v>2395.4870000000001</v>
      </c>
      <c r="R12">
        <v>2534.5129999999999</v>
      </c>
      <c r="S12" s="10">
        <v>1</v>
      </c>
      <c r="T12">
        <v>1070.6983127727262</v>
      </c>
      <c r="U12">
        <v>1011.967146812425</v>
      </c>
      <c r="V12" s="23">
        <v>4107.8214193001013</v>
      </c>
      <c r="W12">
        <v>1</v>
      </c>
      <c r="X12" s="23">
        <v>0</v>
      </c>
      <c r="Y12" s="1" t="s">
        <v>46</v>
      </c>
      <c r="Z12" s="7">
        <v>10000</v>
      </c>
      <c r="AA12" s="7">
        <v>5534</v>
      </c>
      <c r="AB12" s="7">
        <v>4466</v>
      </c>
      <c r="AC12" s="7"/>
    </row>
    <row r="13" spans="1:29">
      <c r="A13" s="7"/>
      <c r="C13" s="1" t="s">
        <v>25</v>
      </c>
      <c r="D13" s="4">
        <v>5.6896014927288331E-4</v>
      </c>
      <c r="E13" s="4">
        <v>6.3102576990744686E-5</v>
      </c>
      <c r="F13" s="4">
        <v>6.2119905721834357E-5</v>
      </c>
      <c r="G13" s="4">
        <v>6.8896321446755458E-6</v>
      </c>
      <c r="H13" s="4">
        <v>6.2349745428018949E-5</v>
      </c>
      <c r="I13" s="4">
        <v>6.915123346077926E-6</v>
      </c>
      <c r="J13" s="4">
        <v>6.8074368876602536E-6</v>
      </c>
      <c r="K13" s="4">
        <v>7.5500333522864839E-7</v>
      </c>
      <c r="M13" s="10">
        <v>2</v>
      </c>
      <c r="N13">
        <v>862</v>
      </c>
      <c r="O13">
        <v>4208</v>
      </c>
      <c r="P13" s="10">
        <v>2</v>
      </c>
      <c r="Q13">
        <v>2463.5129999999999</v>
      </c>
      <c r="R13">
        <v>2606.4870000000001</v>
      </c>
      <c r="S13" s="10">
        <v>2</v>
      </c>
      <c r="T13">
        <v>1041.1326788894557</v>
      </c>
      <c r="U13">
        <v>984.02328082549411</v>
      </c>
      <c r="AC13" s="7"/>
    </row>
    <row r="14" spans="1:29">
      <c r="A14" s="7"/>
      <c r="C14" s="1"/>
      <c r="D14" s="1" t="s">
        <v>13</v>
      </c>
      <c r="E14" s="1" t="s">
        <v>14</v>
      </c>
      <c r="F14" s="1" t="s">
        <v>15</v>
      </c>
      <c r="G14" s="1" t="s">
        <v>16</v>
      </c>
      <c r="H14" s="1" t="s">
        <v>17</v>
      </c>
      <c r="I14" s="1" t="s">
        <v>18</v>
      </c>
      <c r="J14" s="1" t="s">
        <v>19</v>
      </c>
      <c r="K14" s="1" t="s">
        <v>20</v>
      </c>
      <c r="L14" s="1"/>
      <c r="V14" s="7"/>
      <c r="W14" s="7"/>
      <c r="X14" s="7"/>
      <c r="Y14" s="7"/>
      <c r="Z14" s="7"/>
      <c r="AA14" s="7"/>
      <c r="AB14" s="7"/>
      <c r="AC14" s="7"/>
    </row>
    <row r="15" spans="1:29">
      <c r="A15" s="7"/>
      <c r="B15" s="4">
        <v>0.73140565816958525</v>
      </c>
      <c r="C15" s="1" t="s">
        <v>13</v>
      </c>
      <c r="D15" s="4">
        <v>4.1614067245119868E-4</v>
      </c>
      <c r="E15" s="4">
        <v>4.6153581856112544E-5</v>
      </c>
      <c r="F15" s="4">
        <v>4.5434850529910843E-5</v>
      </c>
      <c r="G15" s="4">
        <v>5.039115933322749E-6</v>
      </c>
      <c r="H15" s="4">
        <v>4.5602956591486288E-5</v>
      </c>
      <c r="I15" s="4">
        <v>5.0577603422619903E-6</v>
      </c>
      <c r="J15" s="4">
        <v>4.9789978572670604E-6</v>
      </c>
      <c r="K15" s="4">
        <v>5.5221371132314154E-7</v>
      </c>
      <c r="AC15" s="7"/>
    </row>
    <row r="16" spans="1:29">
      <c r="A16" s="7"/>
      <c r="B16" s="4">
        <v>8.1119181923541839E-2</v>
      </c>
      <c r="C16" s="1" t="s">
        <v>14</v>
      </c>
      <c r="D16" s="4">
        <v>4.6153581856112544E-5</v>
      </c>
      <c r="E16" s="4">
        <v>5.1188294227565235E-6</v>
      </c>
      <c r="F16" s="4">
        <v>5.039115933322749E-6</v>
      </c>
      <c r="G16" s="4">
        <v>5.5888132333021735E-7</v>
      </c>
      <c r="H16" s="4">
        <v>5.0577603422619903E-6</v>
      </c>
      <c r="I16" s="4">
        <v>5.6094914873422667E-7</v>
      </c>
      <c r="J16" s="4">
        <v>5.5221371132314154E-7</v>
      </c>
      <c r="K16" s="4">
        <v>6.1245252903293568E-8</v>
      </c>
      <c r="O16" s="8"/>
      <c r="AC16" s="7"/>
    </row>
    <row r="17" spans="1:29">
      <c r="A17" s="7"/>
      <c r="B17" s="4">
        <v>7.9855945250252483E-2</v>
      </c>
      <c r="C17" s="1" t="s">
        <v>15</v>
      </c>
      <c r="D17" s="4">
        <v>4.543485052991085E-5</v>
      </c>
      <c r="E17" s="4">
        <v>5.0391159333227499E-6</v>
      </c>
      <c r="F17" s="4">
        <v>4.9606437902736503E-6</v>
      </c>
      <c r="G17" s="4">
        <v>5.5017808733958998E-7</v>
      </c>
      <c r="H17" s="4">
        <v>4.9789978572670613E-6</v>
      </c>
      <c r="I17" s="4">
        <v>5.5221371132314165E-7</v>
      </c>
      <c r="J17" s="4">
        <v>5.4361430739554638E-7</v>
      </c>
      <c r="K17" s="4">
        <v>6.0291505001776968E-8</v>
      </c>
      <c r="AC17" s="7"/>
    </row>
    <row r="18" spans="1:29">
      <c r="A18" s="7"/>
      <c r="B18" s="4">
        <v>8.8567115636527666E-3</v>
      </c>
      <c r="C18" s="1" t="s">
        <v>16</v>
      </c>
      <c r="D18" s="4">
        <v>5.0391159333227499E-6</v>
      </c>
      <c r="E18" s="4">
        <v>5.5888132333021746E-7</v>
      </c>
      <c r="F18" s="4">
        <v>5.5017808733958998E-7</v>
      </c>
      <c r="G18" s="4">
        <v>6.1019484685061713E-8</v>
      </c>
      <c r="H18" s="4">
        <v>5.5221371132314165E-7</v>
      </c>
      <c r="I18" s="4">
        <v>6.1245252903293581E-8</v>
      </c>
      <c r="J18" s="4">
        <v>6.0291505001776968E-8</v>
      </c>
      <c r="K18" s="4">
        <v>6.6868467697159762E-9</v>
      </c>
      <c r="AC18" s="7"/>
    </row>
    <row r="19" spans="1:29">
      <c r="A19" s="7"/>
      <c r="B19" s="4">
        <v>8.0151407176347444E-2</v>
      </c>
      <c r="C19" s="1" t="s">
        <v>17</v>
      </c>
      <c r="D19" s="4">
        <v>4.5602956591486295E-5</v>
      </c>
      <c r="E19" s="4">
        <v>5.0577603422619911E-6</v>
      </c>
      <c r="F19" s="4">
        <v>4.9789978572670613E-6</v>
      </c>
      <c r="G19" s="4">
        <v>5.5221371132314154E-7</v>
      </c>
      <c r="H19" s="4">
        <v>4.9974198331427539E-6</v>
      </c>
      <c r="I19" s="4">
        <v>5.5425686698615806E-7</v>
      </c>
      <c r="J19" s="4">
        <v>5.4562564581014432E-7</v>
      </c>
      <c r="K19" s="4">
        <v>6.0514579741411741E-8</v>
      </c>
      <c r="AC19" s="7"/>
    </row>
    <row r="20" spans="1:29">
      <c r="A20" s="7"/>
      <c r="B20" s="4">
        <v>8.8894808339840328E-3</v>
      </c>
      <c r="C20" s="1" t="s">
        <v>18</v>
      </c>
      <c r="D20" s="4">
        <v>5.0577603422619903E-6</v>
      </c>
      <c r="E20" s="4">
        <v>5.6094914873422667E-7</v>
      </c>
      <c r="F20" s="4">
        <v>5.5221371132314154E-7</v>
      </c>
      <c r="G20" s="4">
        <v>6.1245252903293568E-8</v>
      </c>
      <c r="H20" s="4">
        <v>5.5425686698615806E-7</v>
      </c>
      <c r="I20" s="4">
        <v>6.1471856449595258E-8</v>
      </c>
      <c r="J20" s="4">
        <v>6.0514579741411741E-8</v>
      </c>
      <c r="K20" s="4">
        <v>6.711587678109092E-9</v>
      </c>
      <c r="AC20" s="7"/>
    </row>
    <row r="21" spans="1:29">
      <c r="A21" s="7"/>
      <c r="B21" s="4">
        <v>8.7510484936952002E-3</v>
      </c>
      <c r="C21" s="1" t="s">
        <v>19</v>
      </c>
      <c r="D21" s="4">
        <v>4.9789978572670613E-6</v>
      </c>
      <c r="E21" s="4">
        <v>5.5221371132314165E-7</v>
      </c>
      <c r="F21" s="4">
        <v>5.4361430739554638E-7</v>
      </c>
      <c r="G21" s="4">
        <v>6.0291505001776968E-8</v>
      </c>
      <c r="H21" s="4">
        <v>5.4562564581014443E-7</v>
      </c>
      <c r="I21" s="4">
        <v>6.0514579741411741E-8</v>
      </c>
      <c r="J21" s="4">
        <v>5.9572210321684406E-8</v>
      </c>
      <c r="K21" s="4">
        <v>6.6070707994875156E-9</v>
      </c>
      <c r="M21" t="s">
        <v>62</v>
      </c>
      <c r="AC21" s="7"/>
    </row>
    <row r="22" spans="1:29">
      <c r="A22" s="7"/>
      <c r="B22" s="4">
        <v>9.7056658894099489E-4</v>
      </c>
      <c r="C22" s="1" t="s">
        <v>20</v>
      </c>
      <c r="D22" s="4">
        <v>5.5221371132314165E-7</v>
      </c>
      <c r="E22" s="4">
        <v>6.1245252903293581E-8</v>
      </c>
      <c r="F22" s="4">
        <v>6.0291505001776968E-8</v>
      </c>
      <c r="G22" s="4">
        <v>6.6868467697159753E-9</v>
      </c>
      <c r="H22" s="4">
        <v>6.0514579741411741E-8</v>
      </c>
      <c r="I22" s="4">
        <v>6.711587678109092E-9</v>
      </c>
      <c r="J22" s="4">
        <v>6.6070707994875147E-9</v>
      </c>
      <c r="K22" s="4">
        <v>7.3278101171194373E-10</v>
      </c>
      <c r="AC22" s="7"/>
    </row>
    <row r="23" spans="1:29">
      <c r="A23" s="7"/>
      <c r="AC23" s="7"/>
    </row>
    <row r="24" spans="1:29">
      <c r="A24" s="7"/>
      <c r="C24" s="1" t="s">
        <v>26</v>
      </c>
      <c r="D24" s="4">
        <v>2.1629228313599778E-2</v>
      </c>
      <c r="E24" s="4">
        <v>0.19501848508925335</v>
      </c>
      <c r="F24" s="4">
        <v>2.3615109518547875E-3</v>
      </c>
      <c r="G24" s="4">
        <v>2.1292404965868775E-2</v>
      </c>
      <c r="H24" s="4">
        <v>2.3702483924065562E-3</v>
      </c>
      <c r="I24" s="4">
        <v>2.1371185512047201E-2</v>
      </c>
      <c r="J24" s="4">
        <v>2.5878720480123821E-4</v>
      </c>
      <c r="K24" s="4">
        <v>2.333337459343705E-3</v>
      </c>
      <c r="O24">
        <v>0.10890535007999999</v>
      </c>
      <c r="P24">
        <v>0.11522584991999998</v>
      </c>
      <c r="Q24">
        <v>4.4396099920000008E-2</v>
      </c>
      <c r="R24">
        <v>4.6972700080000006E-2</v>
      </c>
      <c r="S24">
        <v>0.23627800991999998</v>
      </c>
      <c r="T24">
        <v>0.24999079007999997</v>
      </c>
      <c r="U24">
        <v>9.6320540080000017E-2</v>
      </c>
      <c r="V24">
        <v>0.10191065992000001</v>
      </c>
      <c r="AC24" s="7"/>
    </row>
    <row r="25" spans="1:29">
      <c r="A25" s="7"/>
      <c r="C25" s="1"/>
      <c r="D25" s="1" t="s">
        <v>13</v>
      </c>
      <c r="E25" s="1" t="s">
        <v>14</v>
      </c>
      <c r="F25" s="1" t="s">
        <v>15</v>
      </c>
      <c r="G25" s="1" t="s">
        <v>16</v>
      </c>
      <c r="H25" s="1" t="s">
        <v>17</v>
      </c>
      <c r="I25" s="1" t="s">
        <v>18</v>
      </c>
      <c r="J25" s="1" t="s">
        <v>19</v>
      </c>
      <c r="K25" s="1" t="s">
        <v>20</v>
      </c>
      <c r="L25" s="1"/>
      <c r="N25" s="7"/>
      <c r="O25" s="1" t="s">
        <v>13</v>
      </c>
      <c r="P25" s="1" t="s">
        <v>14</v>
      </c>
      <c r="Q25" s="1" t="s">
        <v>15</v>
      </c>
      <c r="R25" s="1" t="s">
        <v>16</v>
      </c>
      <c r="S25" s="1" t="s">
        <v>17</v>
      </c>
      <c r="T25" s="1" t="s">
        <v>18</v>
      </c>
      <c r="U25" s="1" t="s">
        <v>19</v>
      </c>
      <c r="V25" s="1" t="s">
        <v>20</v>
      </c>
      <c r="AC25" s="7"/>
    </row>
    <row r="26" spans="1:29">
      <c r="A26" s="7"/>
      <c r="B26" s="4">
        <v>8.1119181923541839E-2</v>
      </c>
      <c r="C26" s="1" t="s">
        <v>13</v>
      </c>
      <c r="D26" s="4">
        <v>1.7545453064367225E-3</v>
      </c>
      <c r="E26" s="4">
        <v>1.5819739970408673E-2</v>
      </c>
      <c r="F26" s="4">
        <v>1.9156383651794496E-4</v>
      </c>
      <c r="G26" s="4">
        <v>1.7272224720160348E-3</v>
      </c>
      <c r="H26" s="4">
        <v>1.9227261054761001E-4</v>
      </c>
      <c r="I26" s="4">
        <v>1.7336130854735186E-3</v>
      </c>
      <c r="J26" s="4">
        <v>2.0992606345756524E-5</v>
      </c>
      <c r="K26" s="4">
        <v>1.8927842585351692E-4</v>
      </c>
      <c r="M26" s="4">
        <v>0.10921427028000001</v>
      </c>
      <c r="N26" s="1" t="s">
        <v>13</v>
      </c>
      <c r="O26">
        <v>1.1894018338575139E-2</v>
      </c>
      <c r="P26">
        <v>1.2584307116405596E-2</v>
      </c>
      <c r="Q26">
        <v>4.8486876560407677E-3</v>
      </c>
      <c r="R26">
        <v>5.1300891623184989E-3</v>
      </c>
      <c r="S26">
        <v>2.5804930436623401E-2</v>
      </c>
      <c r="T26">
        <v>2.7302561715307861E-2</v>
      </c>
      <c r="U26">
        <v>1.0519577497812696E-2</v>
      </c>
      <c r="V26">
        <v>1.1130098356916045E-2</v>
      </c>
      <c r="AC26" s="7"/>
    </row>
    <row r="27" spans="1:29">
      <c r="A27" s="7"/>
      <c r="B27" s="4">
        <v>0.73140565816958525</v>
      </c>
      <c r="C27" s="1" t="s">
        <v>14</v>
      </c>
      <c r="D27" s="4">
        <v>1.5819739970408673E-2</v>
      </c>
      <c r="E27" s="4">
        <v>0.14263762344194078</v>
      </c>
      <c r="F27" s="4">
        <v>1.7272224720160346E-3</v>
      </c>
      <c r="G27" s="4">
        <v>1.5573385468074597E-2</v>
      </c>
      <c r="H27" s="4">
        <v>1.7336130854735186E-3</v>
      </c>
      <c r="I27" s="4">
        <v>1.5631006005303188E-2</v>
      </c>
      <c r="J27" s="4">
        <v>1.8927842585351689E-4</v>
      </c>
      <c r="K27" s="4">
        <v>1.7066162201830304E-3</v>
      </c>
      <c r="M27" s="4">
        <v>0.11231568972000001</v>
      </c>
      <c r="N27" s="1" t="s">
        <v>14</v>
      </c>
      <c r="O27">
        <v>1.2231779508433257E-2</v>
      </c>
      <c r="P27">
        <v>1.2941670807338006E-2</v>
      </c>
      <c r="Q27">
        <v>4.986378583392838E-3</v>
      </c>
      <c r="R27">
        <v>5.2757712074959001E-3</v>
      </c>
      <c r="S27">
        <v>2.6537727649833802E-2</v>
      </c>
      <c r="T27">
        <v>2.8077888011482935E-2</v>
      </c>
      <c r="U27">
        <v>1.0818307893288108E-2</v>
      </c>
      <c r="V27">
        <v>1.1446166058735162E-2</v>
      </c>
      <c r="AC27" s="7"/>
    </row>
    <row r="28" spans="1:29">
      <c r="A28" s="7"/>
      <c r="B28" s="4">
        <v>8.8567115636527666E-3</v>
      </c>
      <c r="C28" s="1" t="s">
        <v>15</v>
      </c>
      <c r="D28" s="4">
        <v>1.9156383651794498E-4</v>
      </c>
      <c r="E28" s="4">
        <v>1.7272224720160348E-3</v>
      </c>
      <c r="F28" s="4">
        <v>2.0915221354984949E-5</v>
      </c>
      <c r="G28" s="4">
        <v>1.8858068927918756E-4</v>
      </c>
      <c r="H28" s="4">
        <v>2.0992606345756527E-5</v>
      </c>
      <c r="I28" s="4">
        <v>1.8927842585351692E-4</v>
      </c>
      <c r="J28" s="4">
        <v>2.2920036292885034E-6</v>
      </c>
      <c r="K28" s="4">
        <v>2.0665696858073558E-5</v>
      </c>
      <c r="M28" s="4">
        <v>4.4305929720000005E-2</v>
      </c>
      <c r="N28" s="1" t="s">
        <v>15</v>
      </c>
      <c r="O28">
        <v>4.8251527867764765E-3</v>
      </c>
      <c r="P28">
        <v>5.1051884084827876E-3</v>
      </c>
      <c r="Q28">
        <v>1.9670104828976181E-3</v>
      </c>
      <c r="R28">
        <v>2.081169148503119E-3</v>
      </c>
      <c r="S28">
        <v>1.0468516901896983E-2</v>
      </c>
      <c r="T28">
        <v>1.1076074375931753E-2</v>
      </c>
      <c r="U28">
        <v>4.2675710793769247E-3</v>
      </c>
      <c r="V28">
        <v>4.5152465361343415E-3</v>
      </c>
      <c r="AC28" s="7"/>
    </row>
    <row r="29" spans="1:29">
      <c r="A29" s="7"/>
      <c r="B29" s="4">
        <v>7.9855945250252483E-2</v>
      </c>
      <c r="C29" s="1" t="s">
        <v>16</v>
      </c>
      <c r="D29" s="4">
        <v>1.7272224720160348E-3</v>
      </c>
      <c r="E29" s="4">
        <v>1.5573385468074595E-2</v>
      </c>
      <c r="F29" s="4">
        <v>1.8858068927918753E-4</v>
      </c>
      <c r="G29" s="4">
        <v>1.7003251252006211E-3</v>
      </c>
      <c r="H29" s="4">
        <v>1.8927842585351692E-4</v>
      </c>
      <c r="I29" s="4">
        <v>1.7066162201830304E-3</v>
      </c>
      <c r="J29" s="4">
        <v>2.0665696858073554E-5</v>
      </c>
      <c r="K29" s="4">
        <v>1.8633086840371413E-4</v>
      </c>
      <c r="M29" s="4">
        <v>4.5564110280000007E-2</v>
      </c>
      <c r="N29" s="1" t="s">
        <v>16</v>
      </c>
      <c r="O29">
        <v>4.9621753811271273E-3</v>
      </c>
      <c r="P29">
        <v>5.2501633328616093E-3</v>
      </c>
      <c r="Q29">
        <v>2.0228687927567801E-3</v>
      </c>
      <c r="R29">
        <v>2.1402692865944853E-3</v>
      </c>
      <c r="S29">
        <v>1.0765797300733815E-2</v>
      </c>
      <c r="T29">
        <v>1.1390607928189451E-2</v>
      </c>
      <c r="U29">
        <v>4.3887597104342816E-3</v>
      </c>
      <c r="V29">
        <v>4.6434685473024572E-3</v>
      </c>
      <c r="AC29" s="7"/>
    </row>
    <row r="30" spans="1:29">
      <c r="A30" s="7"/>
      <c r="B30" s="4">
        <v>8.8894808339840328E-3</v>
      </c>
      <c r="C30" s="1" t="s">
        <v>17</v>
      </c>
      <c r="D30" s="4">
        <v>1.9227261054761001E-4</v>
      </c>
      <c r="E30" s="4">
        <v>1.7336130854735184E-3</v>
      </c>
      <c r="F30" s="4">
        <v>2.0992606345756524E-5</v>
      </c>
      <c r="G30" s="4">
        <v>1.8927842585351692E-4</v>
      </c>
      <c r="H30" s="4">
        <v>2.1070277656079545E-5</v>
      </c>
      <c r="I30" s="4">
        <v>1.8997874400886083E-4</v>
      </c>
      <c r="J30" s="4">
        <v>2.3004838971609076E-6</v>
      </c>
      <c r="K30" s="4">
        <v>2.0742158624052863E-5</v>
      </c>
      <c r="M30" s="4">
        <v>0.24150592972000001</v>
      </c>
      <c r="N30" s="1" t="s">
        <v>17</v>
      </c>
      <c r="O30">
        <v>2.6301287822552477E-2</v>
      </c>
      <c r="P30">
        <v>2.7827726012706784E-2</v>
      </c>
      <c r="Q30">
        <v>1.072192138712162E-2</v>
      </c>
      <c r="R30">
        <v>1.1344185604279119E-2</v>
      </c>
      <c r="S30">
        <v>5.7062540458120981E-2</v>
      </c>
      <c r="T30">
        <v>6.0374258179707749E-2</v>
      </c>
      <c r="U30">
        <v>2.326198158315293E-2</v>
      </c>
      <c r="V30">
        <v>2.4612028672358344E-2</v>
      </c>
      <c r="AC30" s="7"/>
    </row>
    <row r="31" spans="1:29">
      <c r="A31" s="7"/>
      <c r="B31" s="4">
        <v>8.0151407176347444E-2</v>
      </c>
      <c r="C31" s="1" t="s">
        <v>18</v>
      </c>
      <c r="D31" s="4">
        <v>1.7336130854735186E-3</v>
      </c>
      <c r="E31" s="4">
        <v>1.5631006005303188E-2</v>
      </c>
      <c r="F31" s="4">
        <v>1.8927842585351689E-4</v>
      </c>
      <c r="G31" s="4">
        <v>1.7066162201830304E-3</v>
      </c>
      <c r="H31" s="4">
        <v>1.8997874400886083E-4</v>
      </c>
      <c r="I31" s="4">
        <v>1.7129305918173526E-3</v>
      </c>
      <c r="J31" s="4">
        <v>2.074215862405286E-5</v>
      </c>
      <c r="K31" s="4">
        <v>1.8702028078368136E-4</v>
      </c>
      <c r="M31" s="4">
        <v>0.24836411027999999</v>
      </c>
      <c r="N31" s="1" t="s">
        <v>18</v>
      </c>
      <c r="O31">
        <v>2.7048180377351124E-2</v>
      </c>
      <c r="P31">
        <v>2.8617965696637604E-2</v>
      </c>
      <c r="Q31">
        <v>1.1026397856532781E-2</v>
      </c>
      <c r="R31">
        <v>1.1666332862818487E-2</v>
      </c>
      <c r="S31">
        <v>5.8682977712509805E-2</v>
      </c>
      <c r="T31">
        <v>6.2088740156413441E-2</v>
      </c>
      <c r="U31">
        <v>2.3922565238658284E-2</v>
      </c>
      <c r="V31">
        <v>2.5310950379078458E-2</v>
      </c>
      <c r="AC31" s="7"/>
    </row>
    <row r="32" spans="1:29">
      <c r="A32" s="7"/>
      <c r="B32" s="4">
        <v>9.7056658894099489E-4</v>
      </c>
      <c r="C32" s="1" t="s">
        <v>19</v>
      </c>
      <c r="D32" s="4">
        <v>2.0992606345756524E-5</v>
      </c>
      <c r="E32" s="4">
        <v>1.8927842585351689E-4</v>
      </c>
      <c r="F32" s="4">
        <v>2.292003629288503E-6</v>
      </c>
      <c r="G32" s="4">
        <v>2.0665696858073558E-5</v>
      </c>
      <c r="H32" s="4">
        <v>2.3004838971609081E-6</v>
      </c>
      <c r="I32" s="4">
        <v>2.074215862405286E-5</v>
      </c>
      <c r="J32" s="4">
        <v>2.5117021462551242E-7</v>
      </c>
      <c r="K32" s="4">
        <v>2.2646593787634671E-6</v>
      </c>
      <c r="M32" s="4">
        <v>9.797387028E-2</v>
      </c>
      <c r="N32" s="1" t="s">
        <v>19</v>
      </c>
      <c r="O32">
        <v>1.0669878641535907E-2</v>
      </c>
      <c r="P32">
        <v>1.1289122472964827E-2</v>
      </c>
      <c r="Q32">
        <v>4.3496577344999988E-3</v>
      </c>
      <c r="R32">
        <v>4.6020972243392662E-3</v>
      </c>
      <c r="S32">
        <v>2.314907109391863E-2</v>
      </c>
      <c r="T32">
        <v>2.4492565238492629E-2</v>
      </c>
      <c r="U32">
        <v>9.436896099097463E-3</v>
      </c>
      <c r="V32">
        <v>9.9845817751512758E-3</v>
      </c>
      <c r="AC32" s="7"/>
    </row>
    <row r="33" spans="1:29">
      <c r="A33" s="7"/>
      <c r="B33" s="4">
        <v>8.7510484936952002E-3</v>
      </c>
      <c r="C33" s="1" t="s">
        <v>20</v>
      </c>
      <c r="D33" s="4">
        <v>1.8927842585351692E-4</v>
      </c>
      <c r="E33" s="4">
        <v>1.7066162201830304E-3</v>
      </c>
      <c r="F33" s="4">
        <v>2.0665696858073558E-5</v>
      </c>
      <c r="G33" s="4">
        <v>1.8633086840371413E-4</v>
      </c>
      <c r="H33" s="4">
        <v>2.0742158624052863E-5</v>
      </c>
      <c r="I33" s="4">
        <v>1.8702028078368133E-4</v>
      </c>
      <c r="J33" s="4">
        <v>2.2646593787634667E-6</v>
      </c>
      <c r="K33" s="4">
        <v>2.0419149258872317E-5</v>
      </c>
      <c r="M33" s="4">
        <v>0.10075608972000001</v>
      </c>
      <c r="N33" s="1" t="s">
        <v>20</v>
      </c>
      <c r="O33">
        <v>1.0972877223648489E-2</v>
      </c>
      <c r="P33">
        <v>1.1609706072602774E-2</v>
      </c>
      <c r="Q33">
        <v>4.4731774267576059E-3</v>
      </c>
      <c r="R33">
        <v>4.7327855836511324E-3</v>
      </c>
      <c r="S33">
        <v>2.380644836636257E-2</v>
      </c>
      <c r="T33">
        <v>2.5188094474474166E-2</v>
      </c>
      <c r="U33">
        <v>9.7048809781793387E-3</v>
      </c>
      <c r="V33">
        <v>1.026811959432393E-2</v>
      </c>
      <c r="AC33" s="7"/>
    </row>
    <row r="34" spans="1:29">
      <c r="A34" s="7"/>
      <c r="X34" t="s">
        <v>86</v>
      </c>
      <c r="AC34" s="7"/>
    </row>
    <row r="35" spans="1:29">
      <c r="A35" s="7"/>
      <c r="C35" s="1" t="s">
        <v>27</v>
      </c>
      <c r="D35" s="4">
        <v>0</v>
      </c>
      <c r="E35" s="4">
        <v>0</v>
      </c>
      <c r="F35" s="4">
        <v>0</v>
      </c>
      <c r="G35" s="4">
        <v>0</v>
      </c>
      <c r="H35" s="4">
        <v>0</v>
      </c>
      <c r="I35" s="4">
        <v>0</v>
      </c>
      <c r="J35" s="4">
        <v>0</v>
      </c>
      <c r="K35" s="4">
        <v>0</v>
      </c>
      <c r="P35" t="s">
        <v>63</v>
      </c>
      <c r="AA35" t="s">
        <v>44</v>
      </c>
      <c r="AC35" s="7"/>
    </row>
    <row r="36" spans="1:29">
      <c r="A36" s="7"/>
      <c r="C36" s="1"/>
      <c r="D36" s="1" t="s">
        <v>13</v>
      </c>
      <c r="E36" s="1" t="s">
        <v>14</v>
      </c>
      <c r="F36" s="1" t="s">
        <v>15</v>
      </c>
      <c r="G36" s="1" t="s">
        <v>16</v>
      </c>
      <c r="H36" s="1" t="s">
        <v>17</v>
      </c>
      <c r="I36" s="1" t="s">
        <v>18</v>
      </c>
      <c r="J36" s="1" t="s">
        <v>19</v>
      </c>
      <c r="K36" s="1" t="s">
        <v>20</v>
      </c>
      <c r="L36" s="1"/>
      <c r="O36" s="1" t="s">
        <v>13</v>
      </c>
      <c r="P36" s="1" t="s">
        <v>14</v>
      </c>
      <c r="Q36" s="1" t="s">
        <v>15</v>
      </c>
      <c r="R36" s="1" t="s">
        <v>16</v>
      </c>
      <c r="S36" s="1" t="s">
        <v>17</v>
      </c>
      <c r="T36" s="1" t="s">
        <v>18</v>
      </c>
      <c r="U36" s="1" t="s">
        <v>19</v>
      </c>
      <c r="V36" s="1" t="s">
        <v>20</v>
      </c>
      <c r="X36" s="1" t="s">
        <v>47</v>
      </c>
      <c r="Y36" s="1" t="s">
        <v>48</v>
      </c>
      <c r="Z36" s="1" t="s">
        <v>66</v>
      </c>
      <c r="AC36" s="7"/>
    </row>
    <row r="37" spans="1:29">
      <c r="A37" s="7"/>
      <c r="B37" s="4">
        <v>7.9855945250252483E-2</v>
      </c>
      <c r="C37" s="1" t="s">
        <v>13</v>
      </c>
      <c r="D37" s="4">
        <v>0</v>
      </c>
      <c r="E37" s="4">
        <v>0</v>
      </c>
      <c r="F37" s="4">
        <v>0</v>
      </c>
      <c r="G37" s="4">
        <v>0</v>
      </c>
      <c r="H37" s="4">
        <v>0</v>
      </c>
      <c r="I37" s="4">
        <v>0</v>
      </c>
      <c r="J37" s="4">
        <v>0</v>
      </c>
      <c r="K37" s="4">
        <v>0</v>
      </c>
      <c r="N37" s="1" t="s">
        <v>13</v>
      </c>
      <c r="O37" s="5">
        <v>118.9401833857514</v>
      </c>
      <c r="P37" s="5">
        <v>125.84307116405597</v>
      </c>
      <c r="Q37" s="5">
        <v>48.48687656040768</v>
      </c>
      <c r="R37" s="5">
        <v>51.300891623184988</v>
      </c>
      <c r="S37" s="5">
        <v>258.04930436623403</v>
      </c>
      <c r="T37" s="5">
        <v>273.0256171530786</v>
      </c>
      <c r="U37" s="5">
        <v>105.19577497812696</v>
      </c>
      <c r="V37" s="5">
        <v>111.30098356916045</v>
      </c>
      <c r="X37">
        <v>1092.1427028000003</v>
      </c>
      <c r="Y37">
        <v>118.9401833857514</v>
      </c>
      <c r="Z37">
        <v>973.20251941424885</v>
      </c>
      <c r="AA37">
        <v>53.728123984993907</v>
      </c>
      <c r="AB37">
        <v>293.23016130321037</v>
      </c>
      <c r="AC37" s="7"/>
    </row>
    <row r="38" spans="1:29">
      <c r="A38" s="7"/>
      <c r="B38" s="4">
        <v>8.8567115636527666E-3</v>
      </c>
      <c r="C38" s="1" t="s">
        <v>14</v>
      </c>
      <c r="D38" s="4">
        <v>0</v>
      </c>
      <c r="E38" s="4">
        <v>0</v>
      </c>
      <c r="F38" s="4">
        <v>0</v>
      </c>
      <c r="G38" s="4">
        <v>0</v>
      </c>
      <c r="H38" s="4">
        <v>0</v>
      </c>
      <c r="I38" s="4">
        <v>0</v>
      </c>
      <c r="J38" s="4">
        <v>0</v>
      </c>
      <c r="K38" s="4">
        <v>0</v>
      </c>
      <c r="N38" s="1" t="s">
        <v>14</v>
      </c>
      <c r="O38" s="5">
        <v>122.31779508433257</v>
      </c>
      <c r="P38" s="5">
        <v>129.41670807338005</v>
      </c>
      <c r="Q38" s="5">
        <v>49.863785833928382</v>
      </c>
      <c r="R38" s="5">
        <v>52.757712074959002</v>
      </c>
      <c r="S38" s="5">
        <v>265.37727649833801</v>
      </c>
      <c r="T38" s="5">
        <v>280.77888011482935</v>
      </c>
      <c r="U38" s="5">
        <v>108.18307893288107</v>
      </c>
      <c r="V38" s="5">
        <v>114.46166058735162</v>
      </c>
      <c r="X38">
        <v>1123.1568972</v>
      </c>
      <c r="Y38">
        <v>129.41670807338005</v>
      </c>
      <c r="Z38">
        <v>993.74018912661995</v>
      </c>
      <c r="AA38">
        <v>12790.439439443746</v>
      </c>
      <c r="AB38">
        <v>57.355915085116742</v>
      </c>
      <c r="AC38" s="7"/>
    </row>
    <row r="39" spans="1:29">
      <c r="A39" s="7"/>
      <c r="B39" s="4">
        <v>0.73140565816958525</v>
      </c>
      <c r="C39" s="1" t="s">
        <v>15</v>
      </c>
      <c r="D39" s="4">
        <v>0</v>
      </c>
      <c r="E39" s="4">
        <v>0</v>
      </c>
      <c r="F39" s="4">
        <v>0</v>
      </c>
      <c r="G39" s="4">
        <v>0</v>
      </c>
      <c r="H39" s="4">
        <v>0</v>
      </c>
      <c r="I39" s="4">
        <v>0</v>
      </c>
      <c r="J39" s="4">
        <v>0</v>
      </c>
      <c r="K39" s="4">
        <v>0</v>
      </c>
      <c r="N39" s="1" t="s">
        <v>15</v>
      </c>
      <c r="O39" s="5">
        <v>48.251527867764764</v>
      </c>
      <c r="P39" s="5">
        <v>51.051884084827876</v>
      </c>
      <c r="Q39" s="5">
        <v>19.670104828976182</v>
      </c>
      <c r="R39" s="5">
        <v>20.81169148503119</v>
      </c>
      <c r="S39" s="5">
        <v>104.68516901896983</v>
      </c>
      <c r="T39" s="5">
        <v>110.76074375931752</v>
      </c>
      <c r="U39" s="5">
        <v>42.675710793769248</v>
      </c>
      <c r="V39" s="5">
        <v>45.152465361343417</v>
      </c>
      <c r="X39">
        <v>443.05929720000006</v>
      </c>
      <c r="Y39">
        <v>19.670104828976182</v>
      </c>
      <c r="Z39">
        <v>423.38919237102385</v>
      </c>
      <c r="AA39">
        <v>1.6344645364684829</v>
      </c>
      <c r="AB39">
        <v>116.81203435182684</v>
      </c>
      <c r="AC39" s="7"/>
    </row>
    <row r="40" spans="1:29">
      <c r="A40" s="7"/>
      <c r="B40" s="4">
        <v>8.1119181923541839E-2</v>
      </c>
      <c r="C40" s="1" t="s">
        <v>16</v>
      </c>
      <c r="D40" s="4">
        <v>0</v>
      </c>
      <c r="E40" s="4">
        <v>0</v>
      </c>
      <c r="F40" s="4">
        <v>0</v>
      </c>
      <c r="G40" s="4">
        <v>0</v>
      </c>
      <c r="H40" s="4">
        <v>0</v>
      </c>
      <c r="I40" s="4">
        <v>0</v>
      </c>
      <c r="J40" s="4">
        <v>0</v>
      </c>
      <c r="K40" s="4">
        <v>0</v>
      </c>
      <c r="N40" s="1" t="s">
        <v>16</v>
      </c>
      <c r="O40" s="5">
        <v>49.621753811271276</v>
      </c>
      <c r="P40" s="5">
        <v>52.501633328616094</v>
      </c>
      <c r="Q40" s="5">
        <v>20.228687927567801</v>
      </c>
      <c r="R40" s="5">
        <v>21.402692865944854</v>
      </c>
      <c r="S40" s="5">
        <v>107.65797300733816</v>
      </c>
      <c r="T40" s="5">
        <v>113.90607928189451</v>
      </c>
      <c r="U40" s="5">
        <v>43.887597104342817</v>
      </c>
      <c r="V40" s="5">
        <v>46.434685473024572</v>
      </c>
      <c r="X40">
        <v>455.64110280000006</v>
      </c>
      <c r="Y40">
        <v>21.402692865944854</v>
      </c>
      <c r="Z40">
        <v>434.2384099340552</v>
      </c>
      <c r="AA40">
        <v>0.31519418565071039</v>
      </c>
      <c r="AB40">
        <v>99.86043237964347</v>
      </c>
      <c r="AC40" s="7"/>
    </row>
    <row r="41" spans="1:29">
      <c r="A41" s="7"/>
      <c r="B41" s="4">
        <v>8.7510484936952002E-3</v>
      </c>
      <c r="C41" s="1" t="s">
        <v>17</v>
      </c>
      <c r="D41" s="4">
        <v>0</v>
      </c>
      <c r="E41" s="4">
        <v>0</v>
      </c>
      <c r="F41" s="4">
        <v>0</v>
      </c>
      <c r="G41" s="4">
        <v>0</v>
      </c>
      <c r="H41" s="4">
        <v>0</v>
      </c>
      <c r="I41" s="4">
        <v>0</v>
      </c>
      <c r="J41" s="4">
        <v>0</v>
      </c>
      <c r="K41" s="4">
        <v>0</v>
      </c>
      <c r="N41" s="1" t="s">
        <v>17</v>
      </c>
      <c r="O41" s="5">
        <v>263.01287822552479</v>
      </c>
      <c r="P41" s="5">
        <v>278.27726012706785</v>
      </c>
      <c r="Q41" s="5">
        <v>107.2192138712162</v>
      </c>
      <c r="R41" s="5">
        <v>113.4418560427912</v>
      </c>
      <c r="S41" s="5">
        <v>570.62540458120975</v>
      </c>
      <c r="T41" s="5">
        <v>603.74258179707749</v>
      </c>
      <c r="U41" s="5">
        <v>232.61981583152931</v>
      </c>
      <c r="V41" s="5">
        <v>246.12028672358343</v>
      </c>
      <c r="X41">
        <v>2415.0592971999999</v>
      </c>
      <c r="Y41">
        <v>570.62540458120975</v>
      </c>
      <c r="Z41">
        <v>1844.4338926187902</v>
      </c>
      <c r="AA41">
        <v>1056.3103352435958</v>
      </c>
      <c r="AB41">
        <v>522.2266243509921</v>
      </c>
      <c r="AC41" s="7"/>
    </row>
    <row r="42" spans="1:29">
      <c r="A42" s="7"/>
      <c r="B42" s="4">
        <v>9.7056658894099489E-4</v>
      </c>
      <c r="C42" s="1" t="s">
        <v>18</v>
      </c>
      <c r="D42" s="4">
        <v>0</v>
      </c>
      <c r="E42" s="4">
        <v>0</v>
      </c>
      <c r="F42" s="4">
        <v>0</v>
      </c>
      <c r="G42" s="4">
        <v>0</v>
      </c>
      <c r="H42" s="4">
        <v>0</v>
      </c>
      <c r="I42" s="4">
        <v>0</v>
      </c>
      <c r="J42" s="4">
        <v>0</v>
      </c>
      <c r="K42" s="4">
        <v>0</v>
      </c>
      <c r="N42" s="1" t="s">
        <v>18</v>
      </c>
      <c r="O42" s="5">
        <v>270.48180377351122</v>
      </c>
      <c r="P42" s="5">
        <v>286.17965696637606</v>
      </c>
      <c r="Q42" s="5">
        <v>110.2639785653278</v>
      </c>
      <c r="R42" s="5">
        <v>116.66332862818487</v>
      </c>
      <c r="S42" s="5">
        <v>586.82977712509808</v>
      </c>
      <c r="T42" s="5">
        <v>620.88740156413439</v>
      </c>
      <c r="U42" s="5">
        <v>239.22565238658285</v>
      </c>
      <c r="V42" s="5">
        <v>253.10950379078457</v>
      </c>
      <c r="X42">
        <v>2483.6411027999993</v>
      </c>
      <c r="Y42">
        <v>620.88740156413439</v>
      </c>
      <c r="Z42">
        <v>1862.7537012358648</v>
      </c>
      <c r="AA42">
        <v>901.40733815590477</v>
      </c>
      <c r="AB42">
        <v>512.17066016027104</v>
      </c>
      <c r="AC42" s="7"/>
    </row>
    <row r="43" spans="1:29">
      <c r="A43" s="7"/>
      <c r="B43" s="4">
        <v>8.0151407176347444E-2</v>
      </c>
      <c r="C43" s="1" t="s">
        <v>19</v>
      </c>
      <c r="D43" s="4">
        <v>0</v>
      </c>
      <c r="E43" s="4">
        <v>0</v>
      </c>
      <c r="F43" s="4">
        <v>0</v>
      </c>
      <c r="G43" s="4">
        <v>0</v>
      </c>
      <c r="H43" s="4">
        <v>0</v>
      </c>
      <c r="I43" s="4">
        <v>0</v>
      </c>
      <c r="J43" s="4">
        <v>0</v>
      </c>
      <c r="K43" s="4">
        <v>0</v>
      </c>
      <c r="N43" s="1" t="s">
        <v>19</v>
      </c>
      <c r="O43" s="5">
        <v>106.69878641535907</v>
      </c>
      <c r="P43" s="5">
        <v>112.89122472964827</v>
      </c>
      <c r="Q43" s="5">
        <v>43.496577344999992</v>
      </c>
      <c r="R43" s="5">
        <v>46.020972243392663</v>
      </c>
      <c r="S43" s="5">
        <v>231.4907109391863</v>
      </c>
      <c r="T43" s="5">
        <v>244.92565238492628</v>
      </c>
      <c r="U43" s="5">
        <v>94.368960990974628</v>
      </c>
      <c r="V43" s="5">
        <v>99.845817751512755</v>
      </c>
      <c r="X43">
        <v>979.73870279999994</v>
      </c>
      <c r="Y43">
        <v>94.368960990974628</v>
      </c>
      <c r="Z43">
        <v>885.3697418090253</v>
      </c>
      <c r="AA43">
        <v>15402.799680723394</v>
      </c>
      <c r="AB43">
        <v>28.32824969759054</v>
      </c>
      <c r="AC43" s="7"/>
    </row>
    <row r="44" spans="1:29">
      <c r="A44" s="7"/>
      <c r="B44" s="4">
        <v>8.8894808339840328E-3</v>
      </c>
      <c r="C44" s="1" t="s">
        <v>20</v>
      </c>
      <c r="D44" s="4">
        <v>0</v>
      </c>
      <c r="E44" s="4">
        <v>0</v>
      </c>
      <c r="F44" s="4">
        <v>0</v>
      </c>
      <c r="G44" s="4">
        <v>0</v>
      </c>
      <c r="H44" s="4">
        <v>0</v>
      </c>
      <c r="I44" s="4">
        <v>0</v>
      </c>
      <c r="J44" s="4">
        <v>0</v>
      </c>
      <c r="K44" s="4">
        <v>0</v>
      </c>
      <c r="N44" s="1" t="s">
        <v>20</v>
      </c>
      <c r="O44" s="5">
        <v>109.72877223648489</v>
      </c>
      <c r="P44" s="5">
        <v>116.09706072602773</v>
      </c>
      <c r="Q44" s="5">
        <v>44.731774267576057</v>
      </c>
      <c r="R44" s="5">
        <v>47.327855836511326</v>
      </c>
      <c r="S44" s="5">
        <v>238.06448366362571</v>
      </c>
      <c r="T44" s="5">
        <v>251.88094474474167</v>
      </c>
      <c r="U44" s="5">
        <v>97.048809781793381</v>
      </c>
      <c r="V44" s="5">
        <v>102.68119594323929</v>
      </c>
      <c r="X44">
        <v>1007.5608972</v>
      </c>
      <c r="Y44">
        <v>102.68119594323929</v>
      </c>
      <c r="Z44">
        <v>904.87970125676065</v>
      </c>
      <c r="AA44">
        <v>58.767996883359729</v>
      </c>
      <c r="AB44">
        <v>317.35384694804975</v>
      </c>
      <c r="AC44" s="7"/>
    </row>
    <row r="45" spans="1:29">
      <c r="A45" s="7"/>
      <c r="X45" s="9">
        <v>10000</v>
      </c>
      <c r="Y45" s="9">
        <v>1677.9926522336107</v>
      </c>
      <c r="Z45" s="9">
        <v>8322.0073477663882</v>
      </c>
      <c r="AA45" s="9">
        <v>30265.402573157113</v>
      </c>
      <c r="AB45" s="9">
        <v>1947.337924276701</v>
      </c>
      <c r="AC45" s="7"/>
    </row>
    <row r="46" spans="1:29">
      <c r="A46" s="7"/>
      <c r="C46" s="1" t="s">
        <v>28</v>
      </c>
      <c r="D46" s="4">
        <v>1.1518654057524187E-5</v>
      </c>
      <c r="E46" s="4">
        <v>1.0385717104632503E-4</v>
      </c>
      <c r="F46" s="4">
        <v>1.0550008175057705E-4</v>
      </c>
      <c r="G46" s="4">
        <v>9.5123440473617569E-4</v>
      </c>
      <c r="H46" s="4">
        <v>1.2622767149472122E-6</v>
      </c>
      <c r="I46" s="4">
        <v>1.1381233261921895E-5</v>
      </c>
      <c r="J46" s="4">
        <v>1.156127234603348E-5</v>
      </c>
      <c r="K46" s="4">
        <v>1.0424143598364381E-4</v>
      </c>
      <c r="P46" t="s">
        <v>70</v>
      </c>
      <c r="AB46" s="21">
        <v>32212.740497433813</v>
      </c>
      <c r="AC46" s="7"/>
    </row>
    <row r="47" spans="1:29">
      <c r="A47" s="7"/>
      <c r="C47" s="1"/>
      <c r="D47" s="1" t="s">
        <v>13</v>
      </c>
      <c r="E47" s="1" t="s">
        <v>14</v>
      </c>
      <c r="F47" s="1" t="s">
        <v>15</v>
      </c>
      <c r="G47" s="1" t="s">
        <v>16</v>
      </c>
      <c r="H47" s="1" t="s">
        <v>17</v>
      </c>
      <c r="I47" s="1" t="s">
        <v>18</v>
      </c>
      <c r="J47" s="1" t="s">
        <v>19</v>
      </c>
      <c r="K47" s="1" t="s">
        <v>20</v>
      </c>
      <c r="L47" s="1"/>
      <c r="O47" s="1" t="s">
        <v>13</v>
      </c>
      <c r="P47" s="1" t="s">
        <v>14</v>
      </c>
      <c r="Q47" s="1" t="s">
        <v>15</v>
      </c>
      <c r="R47" s="1" t="s">
        <v>16</v>
      </c>
      <c r="S47" s="1" t="s">
        <v>17</v>
      </c>
      <c r="T47" s="1" t="s">
        <v>18</v>
      </c>
      <c r="U47" s="1" t="s">
        <v>19</v>
      </c>
      <c r="V47" s="1" t="s">
        <v>20</v>
      </c>
      <c r="Z47" t="s">
        <v>68</v>
      </c>
      <c r="AC47" s="7"/>
    </row>
    <row r="48" spans="1:29">
      <c r="A48" s="7"/>
      <c r="B48" s="4">
        <v>8.8567115636527666E-3</v>
      </c>
      <c r="C48" s="1" t="s">
        <v>13</v>
      </c>
      <c r="D48" s="4">
        <v>1.0201739658899033E-7</v>
      </c>
      <c r="E48" s="4">
        <v>9.1983300777425021E-7</v>
      </c>
      <c r="F48" s="4">
        <v>9.3438379400664802E-7</v>
      </c>
      <c r="G48" s="4">
        <v>8.4248087521712436E-6</v>
      </c>
      <c r="H48" s="4">
        <v>1.1179620777802601E-8</v>
      </c>
      <c r="I48" s="4">
        <v>1.0080030023949315E-7</v>
      </c>
      <c r="J48" s="4">
        <v>1.0239485447765367E-7</v>
      </c>
      <c r="K48" s="4">
        <v>9.2323633148810769E-7</v>
      </c>
      <c r="N48" s="1" t="s">
        <v>13</v>
      </c>
      <c r="O48">
        <v>53.728123984993907</v>
      </c>
      <c r="P48">
        <v>34.779342180058563</v>
      </c>
      <c r="Q48">
        <v>37.229345503630888</v>
      </c>
      <c r="R48">
        <v>16.735425501369289</v>
      </c>
      <c r="S48">
        <v>48.653673528754489</v>
      </c>
      <c r="T48">
        <v>197.18254857046097</v>
      </c>
      <c r="U48">
        <v>62.671280055396146</v>
      </c>
      <c r="V48">
        <v>95.876000949489637</v>
      </c>
      <c r="W48" s="7">
        <v>546.85574027415396</v>
      </c>
      <c r="Z48" t="s">
        <v>67</v>
      </c>
      <c r="AC48" s="7"/>
    </row>
    <row r="49" spans="1:29">
      <c r="A49" s="7"/>
      <c r="B49" s="4">
        <v>7.9855945250252483E-2</v>
      </c>
      <c r="C49" s="1" t="s">
        <v>14</v>
      </c>
      <c r="D49" s="4">
        <v>9.1983300777425011E-7</v>
      </c>
      <c r="E49" s="4">
        <v>8.2936125649214388E-6</v>
      </c>
      <c r="F49" s="4">
        <v>8.4248087521712419E-6</v>
      </c>
      <c r="G49" s="4">
        <v>7.5961722544768564E-5</v>
      </c>
      <c r="H49" s="4">
        <v>1.0080030023949313E-7</v>
      </c>
      <c r="I49" s="4">
        <v>9.0885914024438733E-7</v>
      </c>
      <c r="J49" s="4">
        <v>9.2323633148810769E-7</v>
      </c>
      <c r="K49" s="4">
        <v>8.3242984047175587E-6</v>
      </c>
      <c r="N49" s="1" t="s">
        <v>14</v>
      </c>
      <c r="O49">
        <v>10.409112973021246</v>
      </c>
      <c r="P49">
        <v>12790.439439443746</v>
      </c>
      <c r="Q49">
        <v>22.997772267541936</v>
      </c>
      <c r="R49">
        <v>217.99482705119433</v>
      </c>
      <c r="S49">
        <v>165.19441488101953</v>
      </c>
      <c r="T49">
        <v>7.2831321317068412</v>
      </c>
      <c r="U49">
        <v>98.414168676735656</v>
      </c>
      <c r="V49">
        <v>56.561112177238314</v>
      </c>
      <c r="W49" s="7">
        <v>13369.293979602202</v>
      </c>
      <c r="Z49" t="s">
        <v>69</v>
      </c>
      <c r="AB49">
        <v>12</v>
      </c>
      <c r="AC49" s="7"/>
    </row>
    <row r="50" spans="1:29">
      <c r="A50" s="7"/>
      <c r="B50" s="4">
        <v>8.1119181923541839E-2</v>
      </c>
      <c r="C50" s="1" t="s">
        <v>15</v>
      </c>
      <c r="D50" s="4">
        <v>9.3438379400664792E-7</v>
      </c>
      <c r="E50" s="4">
        <v>8.4248087521712419E-6</v>
      </c>
      <c r="F50" s="4">
        <v>8.5580803244735961E-6</v>
      </c>
      <c r="G50" s="4">
        <v>7.7163356729725871E-5</v>
      </c>
      <c r="H50" s="4">
        <v>1.0239485447765367E-7</v>
      </c>
      <c r="I50" s="4">
        <v>9.2323633148810769E-7</v>
      </c>
      <c r="J50" s="4">
        <v>9.3784095470550322E-7</v>
      </c>
      <c r="K50" s="4">
        <v>8.4559800095284416E-6</v>
      </c>
      <c r="N50" s="1" t="s">
        <v>15</v>
      </c>
      <c r="O50">
        <v>44.334426797120166</v>
      </c>
      <c r="P50">
        <v>26.891115555194887</v>
      </c>
      <c r="Q50">
        <v>1.6344645364684829</v>
      </c>
      <c r="R50">
        <v>12.01293935178826</v>
      </c>
      <c r="S50">
        <v>49.087788704310967</v>
      </c>
      <c r="T50">
        <v>95.338565809150182</v>
      </c>
      <c r="U50">
        <v>158.80903837928861</v>
      </c>
      <c r="V50">
        <v>21.493313605873656</v>
      </c>
      <c r="W50" s="7">
        <v>409.60165273919517</v>
      </c>
      <c r="AC50" s="7"/>
    </row>
    <row r="51" spans="1:29">
      <c r="A51" s="7"/>
      <c r="B51" s="4">
        <v>0.73140565816958525</v>
      </c>
      <c r="C51" s="1" t="s">
        <v>16</v>
      </c>
      <c r="D51" s="4">
        <v>8.4248087521712419E-6</v>
      </c>
      <c r="E51" s="4">
        <v>7.5961722544768551E-5</v>
      </c>
      <c r="F51" s="4">
        <v>7.7163356729725857E-5</v>
      </c>
      <c r="G51" s="4">
        <v>6.957382258696162E-4</v>
      </c>
      <c r="H51" s="4">
        <v>9.2323633148810769E-7</v>
      </c>
      <c r="I51" s="4">
        <v>8.3242984047175587E-6</v>
      </c>
      <c r="J51" s="4">
        <v>8.4559800095284416E-6</v>
      </c>
      <c r="K51" s="4">
        <v>7.6242776094159688E-5</v>
      </c>
      <c r="N51" s="1" t="s">
        <v>16</v>
      </c>
      <c r="O51">
        <v>27.027518158955672</v>
      </c>
      <c r="P51">
        <v>216.02950964747629</v>
      </c>
      <c r="Q51">
        <v>8.650990361391127</v>
      </c>
      <c r="R51">
        <v>0.31519418565071039</v>
      </c>
      <c r="S51">
        <v>95.992365333278997</v>
      </c>
      <c r="T51">
        <v>61.807325691866026</v>
      </c>
      <c r="U51">
        <v>27.733221046966566</v>
      </c>
      <c r="V51">
        <v>42.520827975321126</v>
      </c>
      <c r="W51" s="7">
        <v>480.07695240090652</v>
      </c>
      <c r="AC51" s="7"/>
    </row>
    <row r="52" spans="1:29">
      <c r="A52" s="7"/>
      <c r="B52" s="4">
        <v>9.7056658894099489E-4</v>
      </c>
      <c r="C52" s="1" t="s">
        <v>17</v>
      </c>
      <c r="D52" s="4">
        <v>1.1179620777802601E-8</v>
      </c>
      <c r="E52" s="4">
        <v>1.0080030023949315E-7</v>
      </c>
      <c r="F52" s="4">
        <v>1.0239485447765368E-7</v>
      </c>
      <c r="G52" s="4">
        <v>9.232363314881078E-7</v>
      </c>
      <c r="H52" s="4">
        <v>1.2251236055259603E-9</v>
      </c>
      <c r="I52" s="4">
        <v>1.1046244744965327E-8</v>
      </c>
      <c r="J52" s="4">
        <v>1.1220984664707568E-8</v>
      </c>
      <c r="K52" s="4">
        <v>1.0117325494895625E-7</v>
      </c>
      <c r="N52" s="1" t="s">
        <v>17</v>
      </c>
      <c r="O52">
        <v>38.795064470780211</v>
      </c>
      <c r="P52">
        <v>182.37150928963808</v>
      </c>
      <c r="Q52">
        <v>50.000863523940772</v>
      </c>
      <c r="R52">
        <v>103.66223325515425</v>
      </c>
      <c r="S52">
        <v>1056.3103352435958</v>
      </c>
      <c r="T52">
        <v>171.46097039125593</v>
      </c>
      <c r="U52">
        <v>7.3610222572640538</v>
      </c>
      <c r="V52">
        <v>151.53340523321191</v>
      </c>
      <c r="W52" s="7">
        <v>1761.4954036648408</v>
      </c>
      <c r="AC52" s="7"/>
    </row>
    <row r="53" spans="1:29">
      <c r="A53" s="7"/>
      <c r="B53" s="4">
        <v>8.7510484936952002E-3</v>
      </c>
      <c r="C53" s="1" t="s">
        <v>18</v>
      </c>
      <c r="D53" s="4">
        <v>1.0080030023949315E-7</v>
      </c>
      <c r="E53" s="4">
        <v>9.0885914024438743E-7</v>
      </c>
      <c r="F53" s="4">
        <v>9.232363314881078E-7</v>
      </c>
      <c r="G53" s="4">
        <v>8.3242984047175604E-6</v>
      </c>
      <c r="H53" s="4">
        <v>1.1046244744965327E-8</v>
      </c>
      <c r="I53" s="4">
        <v>9.9597724193135312E-8</v>
      </c>
      <c r="J53" s="4">
        <v>1.0117325494895626E-7</v>
      </c>
      <c r="K53" s="4">
        <v>9.1222186134529078E-7</v>
      </c>
      <c r="N53" s="1" t="s">
        <v>18</v>
      </c>
      <c r="O53">
        <v>179.72456970128277</v>
      </c>
      <c r="P53">
        <v>2.3296209152013327</v>
      </c>
      <c r="Q53">
        <v>98.590467782100177</v>
      </c>
      <c r="R53">
        <v>65.872106312561883</v>
      </c>
      <c r="S53">
        <v>168.90381577128011</v>
      </c>
      <c r="T53">
        <v>901.40733815590477</v>
      </c>
      <c r="U53">
        <v>129.81668248893237</v>
      </c>
      <c r="V53">
        <v>38.808079485528879</v>
      </c>
      <c r="W53" s="7">
        <v>1585.4526806127924</v>
      </c>
      <c r="AC53" s="7"/>
    </row>
    <row r="54" spans="1:29">
      <c r="A54" s="7"/>
      <c r="B54" s="4">
        <v>8.8894808339840328E-3</v>
      </c>
      <c r="C54" s="1" t="s">
        <v>19</v>
      </c>
      <c r="D54" s="4">
        <v>1.0239485447765367E-7</v>
      </c>
      <c r="E54" s="4">
        <v>9.232363314881078E-7</v>
      </c>
      <c r="F54" s="4">
        <v>9.3784095470550333E-7</v>
      </c>
      <c r="G54" s="4">
        <v>8.4559800095284433E-6</v>
      </c>
      <c r="H54" s="4">
        <v>1.1220984664707568E-8</v>
      </c>
      <c r="I54" s="4">
        <v>1.0117325494895626E-7</v>
      </c>
      <c r="J54" s="4">
        <v>1.0277370893653424E-7</v>
      </c>
      <c r="K54" s="4">
        <v>9.2665224728357514E-7</v>
      </c>
      <c r="N54" s="1" t="s">
        <v>19</v>
      </c>
      <c r="O54">
        <v>58.046573830185231</v>
      </c>
      <c r="P54">
        <v>101.21011576910873</v>
      </c>
      <c r="Q54">
        <v>275.6768533314945</v>
      </c>
      <c r="R54">
        <v>17.061240716784539</v>
      </c>
      <c r="S54">
        <v>26.626158966929939</v>
      </c>
      <c r="T54">
        <v>147.27633909554447</v>
      </c>
      <c r="U54">
        <v>15402.799680723394</v>
      </c>
      <c r="V54">
        <v>32.716448440764083</v>
      </c>
      <c r="W54" s="7">
        <v>16061.413410874206</v>
      </c>
      <c r="AC54" s="7"/>
    </row>
    <row r="55" spans="1:29">
      <c r="A55" s="7"/>
      <c r="B55" s="4">
        <v>8.0151407176347444E-2</v>
      </c>
      <c r="C55" s="1" t="s">
        <v>20</v>
      </c>
      <c r="D55" s="4">
        <v>9.232363314881078E-7</v>
      </c>
      <c r="E55" s="4">
        <v>8.3242984047175604E-6</v>
      </c>
      <c r="F55" s="4">
        <v>8.4559800095284433E-6</v>
      </c>
      <c r="G55" s="4">
        <v>7.6242776094159702E-5</v>
      </c>
      <c r="H55" s="4">
        <v>1.0117325494895626E-7</v>
      </c>
      <c r="I55" s="4">
        <v>9.1222186134529078E-7</v>
      </c>
      <c r="J55" s="4">
        <v>9.2665224728357514E-7</v>
      </c>
      <c r="K55" s="4">
        <v>8.3550977801721906E-6</v>
      </c>
      <c r="N55" s="1" t="s">
        <v>20</v>
      </c>
      <c r="O55">
        <v>98.056853917034573</v>
      </c>
      <c r="P55">
        <v>76.2659862524213</v>
      </c>
      <c r="Q55">
        <v>14.802100247506431</v>
      </c>
      <c r="R55">
        <v>37.856085978319555</v>
      </c>
      <c r="S55">
        <v>148.56584010927003</v>
      </c>
      <c r="T55">
        <v>48.81109176379298</v>
      </c>
      <c r="U55">
        <v>8.6365965428668847</v>
      </c>
      <c r="V55">
        <v>58.767996883359729</v>
      </c>
      <c r="W55" s="7">
        <v>491.76255169457147</v>
      </c>
      <c r="AC55" s="7"/>
    </row>
    <row r="56" spans="1:29">
      <c r="A56" s="7"/>
      <c r="O56" s="7">
        <v>510.12224383337377</v>
      </c>
      <c r="P56" s="7">
        <v>13430.316639052844</v>
      </c>
      <c r="Q56" s="7">
        <v>509.58285755407434</v>
      </c>
      <c r="R56" s="7">
        <v>471.51005235282275</v>
      </c>
      <c r="S56" s="7">
        <v>1759.3343925384399</v>
      </c>
      <c r="T56" s="7">
        <v>1630.5673116096823</v>
      </c>
      <c r="U56" s="7">
        <v>15896.241690170844</v>
      </c>
      <c r="V56" s="7">
        <v>498.27718475078734</v>
      </c>
      <c r="W56" s="21">
        <v>34705.95237186287</v>
      </c>
      <c r="X56" t="s">
        <v>64</v>
      </c>
      <c r="AC56" s="7"/>
    </row>
    <row r="57" spans="1:29">
      <c r="A57" s="7"/>
      <c r="C57" s="1" t="s">
        <v>29</v>
      </c>
      <c r="D57" s="4">
        <v>1.9701551416225722E-2</v>
      </c>
      <c r="E57" s="4">
        <v>2.1850716024106442E-3</v>
      </c>
      <c r="F57" s="4">
        <v>2.1510443536579393E-3</v>
      </c>
      <c r="G57" s="4">
        <v>2.3856933057732512E-4</v>
      </c>
      <c r="H57" s="4">
        <v>0.17978257261088754</v>
      </c>
      <c r="I57" s="4">
        <v>1.9939434500414438E-2</v>
      </c>
      <c r="J57" s="4">
        <v>1.9628925637919799E-2</v>
      </c>
      <c r="K57" s="4">
        <v>2.1770167785834941E-3</v>
      </c>
      <c r="X57">
        <v>1</v>
      </c>
      <c r="AC57" s="7"/>
    </row>
    <row r="58" spans="1:29">
      <c r="A58" s="7"/>
      <c r="C58" s="1"/>
      <c r="D58" s="1" t="s">
        <v>13</v>
      </c>
      <c r="E58" s="1" t="s">
        <v>14</v>
      </c>
      <c r="F58" s="1" t="s">
        <v>15</v>
      </c>
      <c r="G58" s="1" t="s">
        <v>16</v>
      </c>
      <c r="H58" s="1" t="s">
        <v>17</v>
      </c>
      <c r="I58" s="1" t="s">
        <v>18</v>
      </c>
      <c r="J58" s="1" t="s">
        <v>19</v>
      </c>
      <c r="K58" s="1" t="s">
        <v>20</v>
      </c>
      <c r="L58" s="1"/>
      <c r="X58">
        <v>0</v>
      </c>
      <c r="Y58" t="s">
        <v>65</v>
      </c>
      <c r="AC58" s="7"/>
    </row>
    <row r="59" spans="1:29">
      <c r="A59" s="7"/>
      <c r="B59" s="4">
        <v>8.0151407176347444E-2</v>
      </c>
      <c r="C59" s="1" t="s">
        <v>13</v>
      </c>
      <c r="D59" s="4">
        <v>1.5791070695676524E-3</v>
      </c>
      <c r="E59" s="4">
        <v>1.7513656371428952E-4</v>
      </c>
      <c r="F59" s="4">
        <v>1.7240923184442061E-4</v>
      </c>
      <c r="G59" s="4">
        <v>1.9121667554891822E-5</v>
      </c>
      <c r="H59" s="4">
        <v>1.4409826180546497E-2</v>
      </c>
      <c r="I59" s="4">
        <v>1.5981737335088275E-3</v>
      </c>
      <c r="J59" s="4">
        <v>1.5732860112391554E-3</v>
      </c>
      <c r="K59" s="4">
        <v>1.7449095824998586E-4</v>
      </c>
      <c r="AC59" s="7"/>
    </row>
    <row r="60" spans="1:29">
      <c r="A60" s="7"/>
      <c r="B60" s="4">
        <v>8.8894808339840328E-3</v>
      </c>
      <c r="C60" s="1" t="s">
        <v>14</v>
      </c>
      <c r="D60" s="4">
        <v>1.7513656371428952E-4</v>
      </c>
      <c r="E60" s="4">
        <v>1.94241521305122E-5</v>
      </c>
      <c r="F60" s="4">
        <v>1.9121667554891822E-5</v>
      </c>
      <c r="G60" s="4">
        <v>2.1207574917435325E-6</v>
      </c>
      <c r="H60" s="4">
        <v>1.5981737335088275E-3</v>
      </c>
      <c r="I60" s="4">
        <v>1.7725122083191413E-4</v>
      </c>
      <c r="J60" s="4">
        <v>1.7449095824998586E-4</v>
      </c>
      <c r="K60" s="4">
        <v>1.935254892847963E-5</v>
      </c>
      <c r="O60" s="22"/>
      <c r="P60" s="22"/>
      <c r="Q60" s="22"/>
      <c r="R60" s="22"/>
      <c r="S60" s="22"/>
      <c r="T60" s="22"/>
      <c r="U60" s="22"/>
      <c r="V60" s="22"/>
      <c r="AC60" s="7"/>
    </row>
    <row r="61" spans="1:29">
      <c r="A61" s="7"/>
      <c r="B61" s="4">
        <v>8.7510484936952002E-3</v>
      </c>
      <c r="C61" s="1" t="s">
        <v>15</v>
      </c>
      <c r="D61" s="4">
        <v>1.7240923184442064E-4</v>
      </c>
      <c r="E61" s="4">
        <v>1.9121667554891826E-5</v>
      </c>
      <c r="F61" s="4">
        <v>1.8823893450949874E-5</v>
      </c>
      <c r="G61" s="4">
        <v>2.0877317809905733E-6</v>
      </c>
      <c r="H61" s="4">
        <v>1.5732860112391554E-3</v>
      </c>
      <c r="I61" s="4">
        <v>1.7449095824998586E-4</v>
      </c>
      <c r="J61" s="4">
        <v>1.7177368013657316E-4</v>
      </c>
      <c r="K61" s="4">
        <v>1.9051179400972262E-5</v>
      </c>
      <c r="O61" s="22"/>
      <c r="P61" s="22"/>
      <c r="Q61" s="22"/>
      <c r="R61" s="22"/>
      <c r="S61" s="22"/>
      <c r="T61" s="22"/>
      <c r="U61" s="22"/>
      <c r="V61" s="22"/>
      <c r="AC61" s="7"/>
    </row>
    <row r="62" spans="1:29">
      <c r="A62" s="7"/>
      <c r="B62" s="4">
        <v>9.7056658894099489E-4</v>
      </c>
      <c r="C62" s="1" t="s">
        <v>16</v>
      </c>
      <c r="D62" s="4">
        <v>1.9121667554891826E-5</v>
      </c>
      <c r="E62" s="4">
        <v>2.1207574917435329E-6</v>
      </c>
      <c r="F62" s="4">
        <v>2.0877317809905733E-6</v>
      </c>
      <c r="G62" s="4">
        <v>2.3154742140437103E-7</v>
      </c>
      <c r="H62" s="4">
        <v>1.7449095824998586E-4</v>
      </c>
      <c r="I62" s="4">
        <v>1.935254892847963E-5</v>
      </c>
      <c r="J62" s="4">
        <v>1.9051179400972262E-5</v>
      </c>
      <c r="K62" s="4">
        <v>2.1129397488570952E-6</v>
      </c>
      <c r="O62" s="22"/>
      <c r="P62" s="22"/>
      <c r="Q62" s="22"/>
      <c r="R62" s="22"/>
      <c r="S62" s="22"/>
      <c r="T62" s="22"/>
      <c r="U62" s="22"/>
      <c r="V62" s="22"/>
      <c r="AC62" s="7"/>
    </row>
    <row r="63" spans="1:29">
      <c r="A63" s="7"/>
      <c r="B63" s="4">
        <v>0.73140565816958525</v>
      </c>
      <c r="C63" s="1" t="s">
        <v>17</v>
      </c>
      <c r="D63" s="4">
        <v>1.4409826180546498E-2</v>
      </c>
      <c r="E63" s="4">
        <v>1.5981737335088275E-3</v>
      </c>
      <c r="F63" s="4">
        <v>1.5732860112391551E-3</v>
      </c>
      <c r="G63" s="4">
        <v>1.7449095824998584E-4</v>
      </c>
      <c r="H63" s="4">
        <v>0.13149399084788746</v>
      </c>
      <c r="I63" s="4">
        <v>1.4583815214304957E-2</v>
      </c>
      <c r="J63" s="4">
        <v>1.4356707275364576E-2</v>
      </c>
      <c r="K63" s="4">
        <v>1.5922823897860908E-3</v>
      </c>
      <c r="O63" s="22"/>
      <c r="P63" s="22"/>
      <c r="Q63" s="22"/>
      <c r="R63" s="22"/>
      <c r="S63" s="22"/>
      <c r="T63" s="22"/>
      <c r="U63" s="22"/>
      <c r="V63" s="22"/>
      <c r="AC63" s="7"/>
    </row>
    <row r="64" spans="1:29">
      <c r="A64" s="7"/>
      <c r="B64" s="4">
        <v>8.1119181923541839E-2</v>
      </c>
      <c r="C64" s="1" t="s">
        <v>18</v>
      </c>
      <c r="D64" s="4">
        <v>1.5981737335088277E-3</v>
      </c>
      <c r="E64" s="4">
        <v>1.7725122083191413E-4</v>
      </c>
      <c r="F64" s="4">
        <v>1.7449095824998584E-4</v>
      </c>
      <c r="G64" s="4">
        <v>1.935254892847963E-5</v>
      </c>
      <c r="H64" s="4">
        <v>1.4583815214304956E-2</v>
      </c>
      <c r="I64" s="4">
        <v>1.6174706146916654E-3</v>
      </c>
      <c r="J64" s="4">
        <v>1.5922823897860908E-3</v>
      </c>
      <c r="K64" s="4">
        <v>1.7659782011251746E-4</v>
      </c>
      <c r="O64" s="22"/>
      <c r="P64" s="22"/>
      <c r="Q64" s="22"/>
      <c r="R64" s="22"/>
      <c r="S64" s="22"/>
      <c r="T64" s="22"/>
      <c r="U64" s="22"/>
      <c r="V64" s="22"/>
      <c r="AC64" s="7"/>
    </row>
    <row r="65" spans="1:29">
      <c r="A65" s="7"/>
      <c r="B65" s="4">
        <v>7.9855945250252483E-2</v>
      </c>
      <c r="C65" s="1" t="s">
        <v>19</v>
      </c>
      <c r="D65" s="4">
        <v>1.5732860112391556E-3</v>
      </c>
      <c r="E65" s="4">
        <v>1.7449095824998586E-4</v>
      </c>
      <c r="F65" s="4">
        <v>1.7177368013657313E-4</v>
      </c>
      <c r="G65" s="4">
        <v>1.9051179400972259E-5</v>
      </c>
      <c r="H65" s="4">
        <v>1.4356707275364576E-2</v>
      </c>
      <c r="I65" s="4">
        <v>1.5922823897860908E-3</v>
      </c>
      <c r="J65" s="4">
        <v>1.5674864110630008E-3</v>
      </c>
      <c r="K65" s="4">
        <v>1.7384773267944454E-4</v>
      </c>
      <c r="O65" s="22"/>
      <c r="P65" s="22"/>
      <c r="Q65" s="22"/>
      <c r="R65" s="22"/>
      <c r="S65" s="22"/>
      <c r="T65" s="22"/>
      <c r="U65" s="22"/>
      <c r="V65" s="22"/>
      <c r="AC65" s="7"/>
    </row>
    <row r="66" spans="1:29">
      <c r="A66" s="7"/>
      <c r="B66" s="4">
        <v>8.8567115636527666E-3</v>
      </c>
      <c r="C66" s="1" t="s">
        <v>20</v>
      </c>
      <c r="D66" s="4">
        <v>1.7449095824998589E-4</v>
      </c>
      <c r="E66" s="4">
        <v>1.9352548928479633E-5</v>
      </c>
      <c r="F66" s="4">
        <v>1.9051179400972262E-5</v>
      </c>
      <c r="G66" s="4">
        <v>2.1129397488570948E-6</v>
      </c>
      <c r="H66" s="4">
        <v>1.5922823897860908E-3</v>
      </c>
      <c r="I66" s="4">
        <v>1.7659782011251746E-4</v>
      </c>
      <c r="J66" s="4">
        <v>1.7384773267944454E-4</v>
      </c>
      <c r="K66" s="4">
        <v>1.9281209677146526E-5</v>
      </c>
      <c r="O66" s="22"/>
      <c r="P66" s="22"/>
      <c r="Q66" s="22"/>
      <c r="R66" s="22"/>
      <c r="S66" s="22"/>
      <c r="T66" s="22"/>
      <c r="U66" s="22"/>
      <c r="V66" s="22"/>
      <c r="AC66" s="7"/>
    </row>
    <row r="67" spans="1:29">
      <c r="A67" s="7"/>
      <c r="O67" s="22"/>
      <c r="P67" s="22"/>
      <c r="Q67" s="22"/>
      <c r="R67" s="22"/>
      <c r="S67" s="22"/>
      <c r="T67" s="22"/>
      <c r="U67" s="22"/>
      <c r="V67" s="22"/>
      <c r="AC67" s="7"/>
    </row>
    <row r="68" spans="1:29">
      <c r="A68" s="7"/>
      <c r="C68" s="1" t="s">
        <v>30</v>
      </c>
      <c r="D68" s="4">
        <v>2.1959097945928535E-3</v>
      </c>
      <c r="E68" s="4">
        <v>1.9799273248453625E-2</v>
      </c>
      <c r="F68" s="4">
        <v>2.397526603367369E-4</v>
      </c>
      <c r="G68" s="4">
        <v>2.1617137669950955E-3</v>
      </c>
      <c r="H68" s="4">
        <v>2.0038336258545224E-2</v>
      </c>
      <c r="I68" s="4">
        <v>0.18067431367366055</v>
      </c>
      <c r="J68" s="4">
        <v>2.1878150179657418E-3</v>
      </c>
      <c r="K68" s="4">
        <v>1.9726287238408937E-2</v>
      </c>
      <c r="O68" s="5"/>
      <c r="P68" s="5"/>
      <c r="Q68" s="5"/>
      <c r="R68" s="5"/>
      <c r="S68" s="5"/>
      <c r="T68" s="5"/>
      <c r="U68" s="5"/>
      <c r="V68" s="5"/>
      <c r="AC68" s="7"/>
    </row>
    <row r="69" spans="1:29">
      <c r="A69" s="7"/>
      <c r="C69" s="1"/>
      <c r="D69" s="1" t="s">
        <v>13</v>
      </c>
      <c r="E69" s="1" t="s">
        <v>14</v>
      </c>
      <c r="F69" s="1" t="s">
        <v>15</v>
      </c>
      <c r="G69" s="1" t="s">
        <v>16</v>
      </c>
      <c r="H69" s="1" t="s">
        <v>17</v>
      </c>
      <c r="I69" s="1" t="s">
        <v>18</v>
      </c>
      <c r="J69" s="1" t="s">
        <v>19</v>
      </c>
      <c r="K69" s="1" t="s">
        <v>20</v>
      </c>
      <c r="L69" s="1"/>
      <c r="AC69" s="7"/>
    </row>
    <row r="70" spans="1:29">
      <c r="A70" s="7"/>
      <c r="B70" s="4">
        <v>8.8894808339840328E-3</v>
      </c>
      <c r="C70" s="1" t="s">
        <v>13</v>
      </c>
      <c r="D70" s="4">
        <v>1.9520498032190987E-5</v>
      </c>
      <c r="E70" s="4">
        <v>1.7600526006894128E-4</v>
      </c>
      <c r="F70" s="4">
        <v>2.1312766789601065E-6</v>
      </c>
      <c r="G70" s="4">
        <v>1.9216513100262328E-5</v>
      </c>
      <c r="H70" s="4">
        <v>1.7813040611526509E-4</v>
      </c>
      <c r="I70" s="4">
        <v>1.6061008485952248E-3</v>
      </c>
      <c r="J70" s="4">
        <v>1.9448539670508894E-5</v>
      </c>
      <c r="K70" s="4">
        <v>1.7535645233150005E-4</v>
      </c>
      <c r="AC70" s="7"/>
    </row>
    <row r="71" spans="1:29">
      <c r="A71" s="7"/>
      <c r="B71" s="4">
        <v>8.0151407176347444E-2</v>
      </c>
      <c r="C71" s="1" t="s">
        <v>14</v>
      </c>
      <c r="D71" s="4">
        <v>1.7600526006894128E-4</v>
      </c>
      <c r="E71" s="4">
        <v>1.5869396119325698E-3</v>
      </c>
      <c r="F71" s="4">
        <v>1.9216513100262325E-5</v>
      </c>
      <c r="G71" s="4">
        <v>1.7326440033713975E-4</v>
      </c>
      <c r="H71" s="4">
        <v>1.6061008485952248E-3</v>
      </c>
      <c r="I71" s="4">
        <v>1.4481300481564685E-2</v>
      </c>
      <c r="J71" s="4">
        <v>1.7535645233150008E-4</v>
      </c>
      <c r="K71" s="4">
        <v>1.5810896805233011E-3</v>
      </c>
      <c r="AC71" s="7"/>
    </row>
    <row r="72" spans="1:29">
      <c r="A72" s="7"/>
      <c r="B72" s="4">
        <v>9.7056658894099489E-4</v>
      </c>
      <c r="C72" s="1" t="s">
        <v>15</v>
      </c>
      <c r="D72" s="4">
        <v>2.1312766789601065E-6</v>
      </c>
      <c r="E72" s="4">
        <v>1.9216513100262325E-5</v>
      </c>
      <c r="F72" s="4">
        <v>2.3269592173255569E-7</v>
      </c>
      <c r="G72" s="4">
        <v>2.0980871570992182E-6</v>
      </c>
      <c r="H72" s="4">
        <v>1.9448539670508894E-5</v>
      </c>
      <c r="I72" s="4">
        <v>1.7535645233150008E-4</v>
      </c>
      <c r="J72" s="4">
        <v>2.1234201592208916E-6</v>
      </c>
      <c r="K72" s="4">
        <v>1.9145675317452841E-5</v>
      </c>
      <c r="AC72" s="7"/>
    </row>
    <row r="73" spans="1:29">
      <c r="A73" s="7"/>
      <c r="B73" s="4">
        <v>8.7510484936952002E-3</v>
      </c>
      <c r="C73" s="1" t="s">
        <v>16</v>
      </c>
      <c r="D73" s="4">
        <v>1.9216513100262328E-5</v>
      </c>
      <c r="E73" s="4">
        <v>1.7326440033713975E-4</v>
      </c>
      <c r="F73" s="4">
        <v>2.0980871570992182E-6</v>
      </c>
      <c r="G73" s="4">
        <v>1.8917262004462609E-5</v>
      </c>
      <c r="H73" s="4">
        <v>1.753564523315001E-4</v>
      </c>
      <c r="I73" s="4">
        <v>1.5810896805233013E-3</v>
      </c>
      <c r="J73" s="4">
        <v>1.9145675317452841E-5</v>
      </c>
      <c r="K73" s="4">
        <v>1.7262569622387739E-4</v>
      </c>
      <c r="AC73" s="7"/>
    </row>
    <row r="74" spans="1:29">
      <c r="A74" s="7"/>
      <c r="B74" s="4">
        <v>8.1119181923541839E-2</v>
      </c>
      <c r="C74" s="1" t="s">
        <v>17</v>
      </c>
      <c r="D74" s="4">
        <v>1.7813040611526506E-4</v>
      </c>
      <c r="E74" s="4">
        <v>1.6061008485952248E-3</v>
      </c>
      <c r="F74" s="4">
        <v>1.9448539670508894E-5</v>
      </c>
      <c r="G74" s="4">
        <v>1.7535645233150008E-4</v>
      </c>
      <c r="H74" s="4">
        <v>1.6254934444020347E-3</v>
      </c>
      <c r="I74" s="4">
        <v>1.4656152519804733E-2</v>
      </c>
      <c r="J74" s="4">
        <v>1.7747376445741996E-4</v>
      </c>
      <c r="K74" s="4">
        <v>1.6001802831685362E-3</v>
      </c>
      <c r="AC74" s="7"/>
    </row>
    <row r="75" spans="1:29">
      <c r="A75" s="7"/>
      <c r="B75" s="4">
        <v>0.73140565816958525</v>
      </c>
      <c r="C75" s="1" t="s">
        <v>18</v>
      </c>
      <c r="D75" s="4">
        <v>1.6061008485952248E-3</v>
      </c>
      <c r="E75" s="4">
        <v>1.4481300481564686E-2</v>
      </c>
      <c r="F75" s="4">
        <v>1.7535645233150008E-4</v>
      </c>
      <c r="G75" s="4">
        <v>1.5810896805233013E-3</v>
      </c>
      <c r="H75" s="4">
        <v>1.4656152519804734E-2</v>
      </c>
      <c r="I75" s="4">
        <v>0.1321462153068218</v>
      </c>
      <c r="J75" s="4">
        <v>1.6001802831685365E-3</v>
      </c>
      <c r="K75" s="4">
        <v>1.4427918100850779E-2</v>
      </c>
      <c r="AC75" s="7"/>
    </row>
    <row r="76" spans="1:29">
      <c r="A76" s="7"/>
      <c r="B76" s="4">
        <v>8.8567115636527666E-3</v>
      </c>
      <c r="C76" s="1" t="s">
        <v>19</v>
      </c>
      <c r="D76" s="4">
        <v>1.9448539670508898E-5</v>
      </c>
      <c r="E76" s="4">
        <v>1.753564523315001E-4</v>
      </c>
      <c r="F76" s="4">
        <v>2.1234201592208916E-6</v>
      </c>
      <c r="G76" s="4">
        <v>1.9145675317452845E-5</v>
      </c>
      <c r="H76" s="4">
        <v>1.7747376445741999E-4</v>
      </c>
      <c r="I76" s="4">
        <v>1.6001802831685365E-3</v>
      </c>
      <c r="J76" s="4">
        <v>1.9376846568750372E-5</v>
      </c>
      <c r="K76" s="4">
        <v>1.7471003629235244E-4</v>
      </c>
      <c r="AC76" s="7"/>
    </row>
    <row r="77" spans="1:29">
      <c r="A77" s="7"/>
      <c r="B77" s="4">
        <v>7.9855945250252483E-2</v>
      </c>
      <c r="C77" s="1" t="s">
        <v>20</v>
      </c>
      <c r="D77" s="4">
        <v>1.753564523315001E-4</v>
      </c>
      <c r="E77" s="4">
        <v>1.5810896805233013E-3</v>
      </c>
      <c r="F77" s="4">
        <v>1.9145675317452841E-5</v>
      </c>
      <c r="G77" s="4">
        <v>1.7262569622387739E-4</v>
      </c>
      <c r="H77" s="4">
        <v>1.6001802831685367E-3</v>
      </c>
      <c r="I77" s="4">
        <v>1.442791810085078E-2</v>
      </c>
      <c r="J77" s="4">
        <v>1.7471003629235244E-4</v>
      </c>
      <c r="K77" s="4">
        <v>1.5752613137011383E-3</v>
      </c>
      <c r="AC77" s="7"/>
    </row>
    <row r="78" spans="1:29">
      <c r="A78" s="7"/>
      <c r="AC78" s="7"/>
    </row>
    <row r="79" spans="1:29">
      <c r="A79" s="7"/>
      <c r="C79" s="1" t="s">
        <v>31</v>
      </c>
      <c r="D79" s="4">
        <v>2.0867642435488777E-3</v>
      </c>
      <c r="E79" s="4">
        <v>2.3144011317551873E-4</v>
      </c>
      <c r="F79" s="4">
        <v>1.9112805818209233E-2</v>
      </c>
      <c r="G79" s="4">
        <v>2.1197746488818671E-3</v>
      </c>
      <c r="H79" s="4">
        <v>1.904235033128681E-2</v>
      </c>
      <c r="I79" s="4">
        <v>2.1119605290465427E-3</v>
      </c>
      <c r="J79" s="4">
        <v>0.17441009224177476</v>
      </c>
      <c r="K79" s="4">
        <v>1.934358019224108E-2</v>
      </c>
      <c r="AC79" s="7"/>
    </row>
    <row r="80" spans="1:29">
      <c r="A80" s="7"/>
      <c r="C80" s="1"/>
      <c r="D80" s="1" t="s">
        <v>13</v>
      </c>
      <c r="E80" s="1" t="s">
        <v>14</v>
      </c>
      <c r="F80" s="1" t="s">
        <v>15</v>
      </c>
      <c r="G80" s="1" t="s">
        <v>16</v>
      </c>
      <c r="H80" s="1" t="s">
        <v>17</v>
      </c>
      <c r="I80" s="1" t="s">
        <v>18</v>
      </c>
      <c r="J80" s="1" t="s">
        <v>19</v>
      </c>
      <c r="K80" s="1" t="s">
        <v>20</v>
      </c>
      <c r="L80" s="1"/>
      <c r="AC80" s="7"/>
    </row>
    <row r="81" spans="1:29">
      <c r="A81" s="7"/>
      <c r="B81" s="4">
        <v>8.7510484936952002E-3</v>
      </c>
      <c r="C81" s="1" t="s">
        <v>13</v>
      </c>
      <c r="D81" s="4">
        <v>1.826137509020541E-5</v>
      </c>
      <c r="E81" s="4">
        <v>2.0253436537852696E-6</v>
      </c>
      <c r="F81" s="4">
        <v>1.6725709056572877E-4</v>
      </c>
      <c r="G81" s="4">
        <v>1.8550250748070934E-5</v>
      </c>
      <c r="H81" s="4">
        <v>1.6664053118302374E-4</v>
      </c>
      <c r="I81" s="4">
        <v>1.8481869006456467E-5</v>
      </c>
      <c r="J81" s="4">
        <v>1.5262711749976239E-3</v>
      </c>
      <c r="K81" s="4">
        <v>1.6927660830398362E-4</v>
      </c>
      <c r="AC81" s="7"/>
    </row>
    <row r="82" spans="1:29">
      <c r="A82" s="7"/>
      <c r="B82" s="4">
        <v>9.7056658894099489E-4</v>
      </c>
      <c r="C82" s="1" t="s">
        <v>14</v>
      </c>
      <c r="D82" s="4">
        <v>2.0253436537852696E-6</v>
      </c>
      <c r="E82" s="4">
        <v>2.2462804118888102E-7</v>
      </c>
      <c r="F82" s="4">
        <v>1.8550250748070938E-5</v>
      </c>
      <c r="G82" s="4">
        <v>2.0573824502888688E-6</v>
      </c>
      <c r="H82" s="4">
        <v>1.8481869006456463E-5</v>
      </c>
      <c r="I82" s="4">
        <v>2.0497983266547221E-6</v>
      </c>
      <c r="J82" s="4">
        <v>1.692766083039836E-4</v>
      </c>
      <c r="K82" s="4">
        <v>1.8774232645090018E-5</v>
      </c>
      <c r="AC82" s="7"/>
    </row>
    <row r="83" spans="1:29">
      <c r="A83" s="7"/>
      <c r="B83" s="4">
        <v>8.0151407176347444E-2</v>
      </c>
      <c r="C83" s="1" t="s">
        <v>15</v>
      </c>
      <c r="D83" s="4">
        <v>1.6725709056572877E-4</v>
      </c>
      <c r="E83" s="4">
        <v>1.8550250748070938E-5</v>
      </c>
      <c r="F83" s="4">
        <v>1.5319182814177508E-3</v>
      </c>
      <c r="G83" s="4">
        <v>1.6990292100462948E-4</v>
      </c>
      <c r="H83" s="4">
        <v>1.5262711749976239E-3</v>
      </c>
      <c r="I83" s="4">
        <v>1.692766083039836E-4</v>
      </c>
      <c r="J83" s="4">
        <v>1.3979214318934804E-2</v>
      </c>
      <c r="K83" s="4">
        <v>1.5504151722366439E-3</v>
      </c>
      <c r="AC83" s="7"/>
    </row>
    <row r="84" spans="1:29">
      <c r="A84" s="7"/>
      <c r="B84" s="4">
        <v>8.8894808339840328E-3</v>
      </c>
      <c r="C84" s="1" t="s">
        <v>16</v>
      </c>
      <c r="D84" s="4">
        <v>1.8550250748070938E-5</v>
      </c>
      <c r="E84" s="4">
        <v>2.0573824502888692E-6</v>
      </c>
      <c r="F84" s="4">
        <v>1.6990292100462948E-4</v>
      </c>
      <c r="G84" s="4">
        <v>1.8843696113600589E-5</v>
      </c>
      <c r="H84" s="4">
        <v>1.692766083039836E-4</v>
      </c>
      <c r="I84" s="4">
        <v>1.8774232645090018E-5</v>
      </c>
      <c r="J84" s="4">
        <v>1.5504151722366439E-3</v>
      </c>
      <c r="K84" s="4">
        <v>1.7195438537956025E-4</v>
      </c>
      <c r="AC84" s="7"/>
    </row>
    <row r="85" spans="1:29">
      <c r="A85" s="7"/>
      <c r="B85" s="4">
        <v>7.9855945250252483E-2</v>
      </c>
      <c r="C85" s="1" t="s">
        <v>17</v>
      </c>
      <c r="D85" s="4">
        <v>1.6664053118302372E-4</v>
      </c>
      <c r="E85" s="4">
        <v>1.8481869006456463E-5</v>
      </c>
      <c r="F85" s="4">
        <v>1.5262711749976236E-3</v>
      </c>
      <c r="G85" s="4">
        <v>1.6927660830398357E-4</v>
      </c>
      <c r="H85" s="4">
        <v>1.5206448854913667E-3</v>
      </c>
      <c r="I85" s="4">
        <v>1.6865260437823497E-4</v>
      </c>
      <c r="J85" s="4">
        <v>1.392768277715065E-2</v>
      </c>
      <c r="K85" s="4">
        <v>1.5446998807754722E-3</v>
      </c>
      <c r="AC85" s="7"/>
    </row>
    <row r="86" spans="1:29">
      <c r="A86" s="7"/>
      <c r="B86" s="4">
        <v>8.8567115636527666E-3</v>
      </c>
      <c r="C86" s="1" t="s">
        <v>18</v>
      </c>
      <c r="D86" s="4">
        <v>1.8481869006456463E-5</v>
      </c>
      <c r="E86" s="4">
        <v>2.0497983266547216E-6</v>
      </c>
      <c r="F86" s="4">
        <v>1.692766083039836E-4</v>
      </c>
      <c r="G86" s="4">
        <v>1.8774232645090015E-5</v>
      </c>
      <c r="H86" s="4">
        <v>1.6865260437823497E-4</v>
      </c>
      <c r="I86" s="4">
        <v>1.8705025239584729E-5</v>
      </c>
      <c r="J86" s="4">
        <v>1.5446998807754722E-3</v>
      </c>
      <c r="K86" s="4">
        <v>1.7132051037106619E-4</v>
      </c>
      <c r="AC86" s="7"/>
    </row>
    <row r="87" spans="1:29">
      <c r="A87" s="7"/>
      <c r="B87" s="4">
        <v>0.73140565816958525</v>
      </c>
      <c r="C87" s="1" t="s">
        <v>19</v>
      </c>
      <c r="D87" s="4">
        <v>1.5262711749976236E-3</v>
      </c>
      <c r="E87" s="4">
        <v>1.6927660830398357E-4</v>
      </c>
      <c r="F87" s="4">
        <v>1.3979214318934802E-2</v>
      </c>
      <c r="G87" s="4">
        <v>1.5504151722366434E-3</v>
      </c>
      <c r="H87" s="4">
        <v>1.392768277715065E-2</v>
      </c>
      <c r="I87" s="4">
        <v>1.5446998807754719E-3</v>
      </c>
      <c r="J87" s="4">
        <v>0.12756452830751333</v>
      </c>
      <c r="K87" s="4">
        <v>1.414800400186224E-2</v>
      </c>
      <c r="AC87" s="7"/>
    </row>
    <row r="88" spans="1:29">
      <c r="A88" s="7"/>
      <c r="B88" s="4">
        <v>8.1119181923541839E-2</v>
      </c>
      <c r="C88" s="1" t="s">
        <v>20</v>
      </c>
      <c r="D88" s="4">
        <v>1.6927660830398357E-4</v>
      </c>
      <c r="E88" s="4">
        <v>1.8774232645090015E-5</v>
      </c>
      <c r="F88" s="4">
        <v>1.5504151722366437E-3</v>
      </c>
      <c r="G88" s="4">
        <v>1.719543853795602E-4</v>
      </c>
      <c r="H88" s="4">
        <v>1.5446998807754719E-3</v>
      </c>
      <c r="I88" s="4">
        <v>1.7132051037106616E-4</v>
      </c>
      <c r="J88" s="4">
        <v>1.414800400186224E-2</v>
      </c>
      <c r="K88" s="4">
        <v>1.5691354006670247E-3</v>
      </c>
      <c r="AC88" s="7"/>
    </row>
    <row r="89" spans="1:29">
      <c r="A89" s="7"/>
      <c r="AC89" s="7"/>
    </row>
    <row r="90" spans="1:29">
      <c r="A90" s="7"/>
      <c r="C90" s="1" t="s">
        <v>32</v>
      </c>
      <c r="D90" s="4">
        <v>0</v>
      </c>
      <c r="E90" s="4">
        <v>0</v>
      </c>
      <c r="F90" s="4">
        <v>0</v>
      </c>
      <c r="G90" s="4">
        <v>0</v>
      </c>
      <c r="H90" s="4">
        <v>0</v>
      </c>
      <c r="I90" s="4">
        <v>0</v>
      </c>
      <c r="J90" s="4">
        <v>0</v>
      </c>
      <c r="K90" s="4">
        <v>0</v>
      </c>
      <c r="AC90" s="7"/>
    </row>
    <row r="91" spans="1:29">
      <c r="A91" s="7"/>
      <c r="C91" s="1"/>
      <c r="D91" s="1" t="s">
        <v>13</v>
      </c>
      <c r="E91" s="1" t="s">
        <v>14</v>
      </c>
      <c r="F91" s="1" t="s">
        <v>15</v>
      </c>
      <c r="G91" s="1" t="s">
        <v>16</v>
      </c>
      <c r="H91" s="1" t="s">
        <v>17</v>
      </c>
      <c r="I91" s="1" t="s">
        <v>18</v>
      </c>
      <c r="J91" s="1" t="s">
        <v>19</v>
      </c>
      <c r="K91" s="1" t="s">
        <v>20</v>
      </c>
      <c r="AC91" s="7"/>
    </row>
    <row r="92" spans="1:29">
      <c r="A92" s="7"/>
      <c r="B92" s="4">
        <v>9.7056658894099489E-4</v>
      </c>
      <c r="C92" s="1" t="s">
        <v>13</v>
      </c>
      <c r="D92" s="4">
        <v>0</v>
      </c>
      <c r="E92" s="4">
        <v>0</v>
      </c>
      <c r="F92" s="4">
        <v>0</v>
      </c>
      <c r="G92" s="4">
        <v>0</v>
      </c>
      <c r="H92" s="4">
        <v>0</v>
      </c>
      <c r="I92" s="4">
        <v>0</v>
      </c>
      <c r="J92" s="4">
        <v>0</v>
      </c>
      <c r="K92" s="4">
        <v>0</v>
      </c>
      <c r="AC92" s="7"/>
    </row>
    <row r="93" spans="1:29">
      <c r="A93" s="7"/>
      <c r="B93" s="4">
        <v>8.7510484936952002E-3</v>
      </c>
      <c r="C93" s="1" t="s">
        <v>14</v>
      </c>
      <c r="D93" s="4">
        <v>0</v>
      </c>
      <c r="E93" s="4">
        <v>0</v>
      </c>
      <c r="F93" s="4">
        <v>0</v>
      </c>
      <c r="G93" s="4">
        <v>0</v>
      </c>
      <c r="H93" s="4">
        <v>0</v>
      </c>
      <c r="I93" s="4">
        <v>0</v>
      </c>
      <c r="J93" s="4">
        <v>0</v>
      </c>
      <c r="K93" s="4">
        <v>0</v>
      </c>
      <c r="AC93" s="7"/>
    </row>
    <row r="94" spans="1:29">
      <c r="A94" s="7"/>
      <c r="B94" s="4">
        <v>8.8894808339840328E-3</v>
      </c>
      <c r="C94" s="1" t="s">
        <v>15</v>
      </c>
      <c r="D94" s="4">
        <v>0</v>
      </c>
      <c r="E94" s="4">
        <v>0</v>
      </c>
      <c r="F94" s="4">
        <v>0</v>
      </c>
      <c r="G94" s="4">
        <v>0</v>
      </c>
      <c r="H94" s="4">
        <v>0</v>
      </c>
      <c r="I94" s="4">
        <v>0</v>
      </c>
      <c r="J94" s="4">
        <v>0</v>
      </c>
      <c r="K94" s="4">
        <v>0</v>
      </c>
      <c r="AC94" s="7"/>
    </row>
    <row r="95" spans="1:29">
      <c r="A95" s="7"/>
      <c r="B95" s="4">
        <v>8.0151407176347444E-2</v>
      </c>
      <c r="C95" s="1" t="s">
        <v>16</v>
      </c>
      <c r="D95" s="4">
        <v>0</v>
      </c>
      <c r="E95" s="4">
        <v>0</v>
      </c>
      <c r="F95" s="4">
        <v>0</v>
      </c>
      <c r="G95" s="4">
        <v>0</v>
      </c>
      <c r="H95" s="4">
        <v>0</v>
      </c>
      <c r="I95" s="4">
        <v>0</v>
      </c>
      <c r="J95" s="4">
        <v>0</v>
      </c>
      <c r="K95" s="4">
        <v>0</v>
      </c>
      <c r="AC95" s="7"/>
    </row>
    <row r="96" spans="1:29">
      <c r="A96" s="7"/>
      <c r="B96" s="4">
        <v>8.8567115636527666E-3</v>
      </c>
      <c r="C96" s="1" t="s">
        <v>17</v>
      </c>
      <c r="D96" s="4">
        <v>0</v>
      </c>
      <c r="E96" s="4">
        <v>0</v>
      </c>
      <c r="F96" s="4">
        <v>0</v>
      </c>
      <c r="G96" s="4">
        <v>0</v>
      </c>
      <c r="H96" s="4">
        <v>0</v>
      </c>
      <c r="I96" s="4">
        <v>0</v>
      </c>
      <c r="J96" s="4">
        <v>0</v>
      </c>
      <c r="K96" s="4">
        <v>0</v>
      </c>
      <c r="AC96" s="7"/>
    </row>
    <row r="97" spans="1:29">
      <c r="A97" s="7"/>
      <c r="B97" s="4">
        <v>7.9855945250252483E-2</v>
      </c>
      <c r="C97" s="1" t="s">
        <v>18</v>
      </c>
      <c r="D97" s="4">
        <v>0</v>
      </c>
      <c r="E97" s="4">
        <v>0</v>
      </c>
      <c r="F97" s="4">
        <v>0</v>
      </c>
      <c r="G97" s="4">
        <v>0</v>
      </c>
      <c r="H97" s="4">
        <v>0</v>
      </c>
      <c r="I97" s="4">
        <v>0</v>
      </c>
      <c r="J97" s="4">
        <v>0</v>
      </c>
      <c r="K97" s="4">
        <v>0</v>
      </c>
      <c r="AC97" s="7"/>
    </row>
    <row r="98" spans="1:29">
      <c r="A98" s="7"/>
      <c r="B98" s="4">
        <v>8.1119181923541839E-2</v>
      </c>
      <c r="C98" s="1" t="s">
        <v>19</v>
      </c>
      <c r="D98" s="4">
        <v>0</v>
      </c>
      <c r="E98" s="4">
        <v>0</v>
      </c>
      <c r="F98" s="4">
        <v>0</v>
      </c>
      <c r="G98" s="4">
        <v>0</v>
      </c>
      <c r="H98" s="4">
        <v>0</v>
      </c>
      <c r="I98" s="4">
        <v>0</v>
      </c>
      <c r="J98" s="4">
        <v>0</v>
      </c>
      <c r="K98" s="4">
        <v>0</v>
      </c>
      <c r="AC98" s="7"/>
    </row>
    <row r="99" spans="1:29">
      <c r="A99" s="7"/>
      <c r="B99" s="4">
        <v>0.73140565816958525</v>
      </c>
      <c r="C99" s="1" t="s">
        <v>20</v>
      </c>
      <c r="D99" s="4">
        <v>0</v>
      </c>
      <c r="E99" s="4">
        <v>0</v>
      </c>
      <c r="F99" s="4">
        <v>0</v>
      </c>
      <c r="G99" s="4">
        <v>0</v>
      </c>
      <c r="H99" s="4">
        <v>0</v>
      </c>
      <c r="I99" s="4">
        <v>0</v>
      </c>
      <c r="J99" s="4">
        <v>0</v>
      </c>
      <c r="K99" s="4">
        <v>0</v>
      </c>
      <c r="AC99" s="7"/>
    </row>
    <row r="100" spans="1:29">
      <c r="A100" s="7"/>
      <c r="AC100" s="7"/>
    </row>
    <row r="101" spans="1:29">
      <c r="A101" s="7"/>
      <c r="C101" s="1" t="s">
        <v>33</v>
      </c>
      <c r="AC101" s="7"/>
    </row>
    <row r="102" spans="1:29">
      <c r="A102" s="7"/>
      <c r="C102" s="1"/>
      <c r="D102" s="1" t="s">
        <v>13</v>
      </c>
      <c r="E102" s="1" t="s">
        <v>14</v>
      </c>
      <c r="F102" s="1" t="s">
        <v>15</v>
      </c>
      <c r="G102" s="1" t="s">
        <v>16</v>
      </c>
      <c r="H102" s="1" t="s">
        <v>17</v>
      </c>
      <c r="I102" s="1" t="s">
        <v>18</v>
      </c>
      <c r="J102" s="1" t="s">
        <v>19</v>
      </c>
      <c r="K102" s="1" t="s">
        <v>20</v>
      </c>
      <c r="AC102" s="7"/>
    </row>
    <row r="103" spans="1:29">
      <c r="A103" s="7"/>
      <c r="C103" s="1" t="s">
        <v>13</v>
      </c>
      <c r="D103" s="4">
        <v>3.7876769389745589E-3</v>
      </c>
      <c r="E103" s="4">
        <v>1.6219980552709578E-2</v>
      </c>
      <c r="F103" s="4">
        <v>5.797306699309719E-4</v>
      </c>
      <c r="G103" s="4">
        <v>1.797574828104754E-3</v>
      </c>
      <c r="H103" s="4">
        <v>1.499248386460466E-2</v>
      </c>
      <c r="I103" s="4">
        <v>4.9615280972265287E-3</v>
      </c>
      <c r="J103" s="4">
        <v>3.145079724964789E-3</v>
      </c>
      <c r="K103" s="4">
        <v>7.0987789478179773E-4</v>
      </c>
      <c r="L103" s="7">
        <v>4.6193932571297634E-2</v>
      </c>
      <c r="AC103" s="7"/>
    </row>
    <row r="104" spans="1:29">
      <c r="A104" s="7"/>
      <c r="C104" s="1" t="s">
        <v>14</v>
      </c>
      <c r="D104" s="4">
        <v>1.6219980552709578E-2</v>
      </c>
      <c r="E104" s="4">
        <v>0.14425762427603273</v>
      </c>
      <c r="F104" s="4">
        <v>1.7975748281047535E-3</v>
      </c>
      <c r="G104" s="4">
        <v>1.5827348612221872E-2</v>
      </c>
      <c r="H104" s="4">
        <v>4.9615280972265287E-3</v>
      </c>
      <c r="I104" s="4">
        <v>3.0293077314315426E-2</v>
      </c>
      <c r="J104" s="4">
        <v>7.0987789478179763E-4</v>
      </c>
      <c r="K104" s="4">
        <v>3.3342182259375216E-3</v>
      </c>
      <c r="L104" s="7">
        <v>0.2174012298013302</v>
      </c>
      <c r="T104" s="6"/>
      <c r="AC104" s="7"/>
    </row>
    <row r="105" spans="1:29">
      <c r="A105" s="7"/>
      <c r="C105" s="1" t="s">
        <v>15</v>
      </c>
      <c r="D105" s="4">
        <v>5.7973066993097201E-4</v>
      </c>
      <c r="E105" s="4">
        <v>1.797574828104754E-3</v>
      </c>
      <c r="F105" s="4">
        <v>1.5854088162601655E-3</v>
      </c>
      <c r="G105" s="4">
        <v>4.4038296403897231E-4</v>
      </c>
      <c r="H105" s="4">
        <v>3.145079724964789E-3</v>
      </c>
      <c r="I105" s="4">
        <v>7.0987789478179763E-4</v>
      </c>
      <c r="J105" s="4">
        <v>1.4156884878121988E-2</v>
      </c>
      <c r="K105" s="4">
        <v>1.6177939953276727E-3</v>
      </c>
      <c r="L105" s="7">
        <v>2.403273377153111E-2</v>
      </c>
      <c r="AC105" s="7"/>
    </row>
    <row r="106" spans="1:29">
      <c r="A106" s="7"/>
      <c r="C106" s="1" t="s">
        <v>16</v>
      </c>
      <c r="D106" s="4">
        <v>1.797574828104754E-3</v>
      </c>
      <c r="E106" s="4">
        <v>1.5827348612221868E-2</v>
      </c>
      <c r="F106" s="4">
        <v>4.4038296403897225E-4</v>
      </c>
      <c r="G106" s="4">
        <v>2.4341168760943898E-3</v>
      </c>
      <c r="H106" s="4">
        <v>7.0987789478179763E-4</v>
      </c>
      <c r="I106" s="4">
        <v>3.3342182259375221E-3</v>
      </c>
      <c r="J106" s="4">
        <v>1.6177939953276727E-3</v>
      </c>
      <c r="K106" s="4">
        <v>6.092733526969383E-4</v>
      </c>
      <c r="L106" s="7">
        <v>2.6770586749203917E-2</v>
      </c>
      <c r="AC106" s="7"/>
    </row>
    <row r="107" spans="1:29">
      <c r="A107" s="7"/>
      <c r="C107" s="1" t="s">
        <v>17</v>
      </c>
      <c r="D107" s="4">
        <v>1.4992483864604661E-2</v>
      </c>
      <c r="E107" s="4">
        <v>4.9615280972265278E-3</v>
      </c>
      <c r="F107" s="4">
        <v>3.145079724964789E-3</v>
      </c>
      <c r="G107" s="4">
        <v>7.0987789478179763E-4</v>
      </c>
      <c r="H107" s="4">
        <v>0.13466619810039371</v>
      </c>
      <c r="I107" s="4">
        <v>2.9599164385608515E-2</v>
      </c>
      <c r="J107" s="4">
        <v>2.8464721147500281E-2</v>
      </c>
      <c r="K107" s="4">
        <v>4.7580664001888422E-3</v>
      </c>
      <c r="L107" s="7">
        <v>0.22129711961526913</v>
      </c>
      <c r="AC107" s="7"/>
    </row>
    <row r="108" spans="1:29">
      <c r="A108" s="7"/>
      <c r="C108" s="1" t="s">
        <v>18</v>
      </c>
      <c r="D108" s="4">
        <v>4.9615280972265287E-3</v>
      </c>
      <c r="E108" s="4">
        <v>3.0293077314315426E-2</v>
      </c>
      <c r="F108" s="4">
        <v>7.0987789478179763E-4</v>
      </c>
      <c r="G108" s="4">
        <v>3.3342182259375221E-3</v>
      </c>
      <c r="H108" s="4">
        <v>2.9599164385608515E-2</v>
      </c>
      <c r="I108" s="4">
        <v>0.13549548260815106</v>
      </c>
      <c r="J108" s="4">
        <v>4.7580664001888422E-3</v>
      </c>
      <c r="K108" s="4">
        <v>1.4963775645567067E-2</v>
      </c>
      <c r="L108" s="7">
        <v>0.22411519057177673</v>
      </c>
      <c r="AC108" s="7"/>
    </row>
    <row r="109" spans="1:29">
      <c r="A109" s="7"/>
      <c r="C109" s="1" t="s">
        <v>19</v>
      </c>
      <c r="D109" s="4">
        <v>3.145079724964789E-3</v>
      </c>
      <c r="E109" s="4">
        <v>7.0987789478179763E-4</v>
      </c>
      <c r="F109" s="4">
        <v>1.4156884878121986E-2</v>
      </c>
      <c r="G109" s="4">
        <v>1.6177939953276722E-3</v>
      </c>
      <c r="H109" s="4">
        <v>2.8464721147500281E-2</v>
      </c>
      <c r="I109" s="4">
        <v>4.7580664001888422E-3</v>
      </c>
      <c r="J109" s="4">
        <v>0.12915180508127896</v>
      </c>
      <c r="K109" s="4">
        <v>1.4499759689530883E-2</v>
      </c>
      <c r="L109" s="7">
        <v>0.19650398881169523</v>
      </c>
      <c r="AC109" s="7"/>
    </row>
    <row r="110" spans="1:29">
      <c r="A110" s="7"/>
      <c r="C110" s="1" t="s">
        <v>20</v>
      </c>
      <c r="D110" s="4">
        <v>7.0987789478179773E-4</v>
      </c>
      <c r="E110" s="4">
        <v>3.3342182259375221E-3</v>
      </c>
      <c r="F110" s="4">
        <v>1.6177939953276725E-3</v>
      </c>
      <c r="G110" s="4">
        <v>6.0927335269693819E-4</v>
      </c>
      <c r="H110" s="4">
        <v>4.7580664001888422E-3</v>
      </c>
      <c r="I110" s="4">
        <v>1.4963775645567069E-2</v>
      </c>
      <c r="J110" s="4">
        <v>1.4499759689530883E-2</v>
      </c>
      <c r="K110" s="4">
        <v>3.1924529038653655E-3</v>
      </c>
      <c r="L110" s="7">
        <v>4.3685218107896086E-2</v>
      </c>
      <c r="AC110" s="7"/>
    </row>
    <row r="111" spans="1:29">
      <c r="A111" s="7"/>
      <c r="D111" s="3">
        <v>4.6193932571297634E-2</v>
      </c>
      <c r="E111" s="3">
        <v>0.2174012298013302</v>
      </c>
      <c r="F111" s="3">
        <v>2.403273377153111E-2</v>
      </c>
      <c r="G111" s="3">
        <v>2.6770586749203924E-2</v>
      </c>
      <c r="H111" s="3">
        <v>0.22129711961526913</v>
      </c>
      <c r="I111" s="3">
        <v>0.22411519057177673</v>
      </c>
      <c r="J111" s="3">
        <v>0.19650398881169523</v>
      </c>
      <c r="K111" s="3">
        <v>4.3685218107896086E-2</v>
      </c>
      <c r="L111" s="7">
        <v>0.99999999999999989</v>
      </c>
      <c r="AC111" s="7"/>
    </row>
    <row r="112" spans="1:29">
      <c r="A112" s="7"/>
      <c r="L112" s="7"/>
      <c r="M112" s="7"/>
      <c r="N112" s="7"/>
      <c r="O112" s="7"/>
      <c r="P112" s="7"/>
      <c r="Q112" s="7"/>
      <c r="R112" s="7"/>
      <c r="S112" s="7"/>
      <c r="T112" s="7"/>
      <c r="U112" s="7"/>
      <c r="V112" s="7"/>
      <c r="W112" s="7"/>
      <c r="X112" s="7"/>
      <c r="Y112" s="7"/>
      <c r="Z112" s="7"/>
      <c r="AA112" s="7"/>
      <c r="AB112" s="7"/>
      <c r="AC112" s="7"/>
    </row>
    <row r="113" spans="1:29">
      <c r="A113" s="7"/>
      <c r="C113" s="1" t="s">
        <v>34</v>
      </c>
      <c r="N113" t="s">
        <v>36</v>
      </c>
      <c r="O113" s="8">
        <v>0.68560151710663719</v>
      </c>
      <c r="W113" t="s">
        <v>54</v>
      </c>
      <c r="Y113" t="s">
        <v>60</v>
      </c>
      <c r="AC113" s="7"/>
    </row>
    <row r="114" spans="1:29">
      <c r="A114" s="7"/>
      <c r="C114" s="1"/>
      <c r="D114" s="1" t="s">
        <v>13</v>
      </c>
      <c r="E114" s="1" t="s">
        <v>14</v>
      </c>
      <c r="F114" s="1" t="s">
        <v>15</v>
      </c>
      <c r="G114" s="1" t="s">
        <v>16</v>
      </c>
      <c r="H114" s="1" t="s">
        <v>17</v>
      </c>
      <c r="I114" s="1" t="s">
        <v>18</v>
      </c>
      <c r="J114" s="1" t="s">
        <v>19</v>
      </c>
      <c r="K114" s="1" t="s">
        <v>20</v>
      </c>
      <c r="N114" t="s">
        <v>37</v>
      </c>
      <c r="O114" s="8">
        <v>0.29099252744032628</v>
      </c>
      <c r="R114" t="s">
        <v>58</v>
      </c>
      <c r="W114" s="1" t="s">
        <v>45</v>
      </c>
      <c r="X114" s="7" t="s">
        <v>47</v>
      </c>
      <c r="Y114" s="7" t="s">
        <v>48</v>
      </c>
      <c r="Z114" s="7" t="s">
        <v>49</v>
      </c>
      <c r="AA114" s="7" t="s">
        <v>50</v>
      </c>
      <c r="AB114" s="7"/>
      <c r="AC114" s="7"/>
    </row>
    <row r="115" spans="1:29">
      <c r="A115" s="7"/>
      <c r="C115" s="1" t="s">
        <v>13</v>
      </c>
      <c r="D115" s="5">
        <v>37.87676938974559</v>
      </c>
      <c r="E115" s="5">
        <v>162.19980552709578</v>
      </c>
      <c r="F115" s="5">
        <v>5.7973066993097193</v>
      </c>
      <c r="G115" s="5">
        <v>17.97574828104754</v>
      </c>
      <c r="H115" s="5">
        <v>149.9248386460466</v>
      </c>
      <c r="I115" s="5">
        <v>49.615280972265289</v>
      </c>
      <c r="J115" s="5">
        <v>31.450797249647891</v>
      </c>
      <c r="K115" s="5">
        <v>7.0987789478179772</v>
      </c>
      <c r="L115" s="12">
        <v>461.93932571297643</v>
      </c>
      <c r="N115" t="s">
        <v>38</v>
      </c>
      <c r="O115" s="8">
        <v>0.51197222523020702</v>
      </c>
      <c r="W115" s="1" t="s">
        <v>13</v>
      </c>
      <c r="X115" s="5">
        <v>461.93932571297643</v>
      </c>
      <c r="Y115" s="5">
        <v>37.87676938974559</v>
      </c>
      <c r="Z115" s="5">
        <v>424.06255632323087</v>
      </c>
      <c r="AA115" s="8">
        <v>3.3309255887965496E-2</v>
      </c>
      <c r="AB115" s="8">
        <v>0.52616582216369323</v>
      </c>
      <c r="AC115" s="7"/>
    </row>
    <row r="116" spans="1:29">
      <c r="A116" s="7"/>
      <c r="C116" s="1" t="s">
        <v>14</v>
      </c>
      <c r="D116" s="5">
        <v>162.19980552709578</v>
      </c>
      <c r="E116" s="5">
        <v>1442.5762427603272</v>
      </c>
      <c r="F116" s="5">
        <v>17.975748281047537</v>
      </c>
      <c r="G116" s="5">
        <v>158.27348612221871</v>
      </c>
      <c r="H116" s="5">
        <v>49.615280972265289</v>
      </c>
      <c r="I116" s="5">
        <v>302.93077314315428</v>
      </c>
      <c r="J116" s="5">
        <v>7.0987789478179764</v>
      </c>
      <c r="K116" s="5">
        <v>33.342182259375214</v>
      </c>
      <c r="L116" s="12">
        <v>2174.0122980133019</v>
      </c>
      <c r="M116" s="10" t="s">
        <v>39</v>
      </c>
      <c r="N116" s="10">
        <v>1</v>
      </c>
      <c r="O116" s="10">
        <v>2</v>
      </c>
      <c r="P116" s="10" t="s">
        <v>39</v>
      </c>
      <c r="Q116" s="10">
        <v>1</v>
      </c>
      <c r="R116" s="10">
        <v>2</v>
      </c>
      <c r="S116" s="10" t="s">
        <v>11</v>
      </c>
      <c r="T116" s="10" t="s">
        <v>42</v>
      </c>
      <c r="U116" s="10" t="s">
        <v>43</v>
      </c>
      <c r="V116" s="10"/>
      <c r="W116" s="1" t="s">
        <v>14</v>
      </c>
      <c r="X116" s="5">
        <v>2174.0122980133019</v>
      </c>
      <c r="Y116" s="5">
        <v>1442.5762427603272</v>
      </c>
      <c r="Z116" s="5">
        <v>731.43605525297471</v>
      </c>
      <c r="AA116" s="8">
        <v>0.48960786842320808</v>
      </c>
      <c r="AB116" s="8">
        <v>0.75913606945287715</v>
      </c>
      <c r="AC116" s="7"/>
    </row>
    <row r="117" spans="1:29">
      <c r="A117" s="7"/>
      <c r="C117" s="1" t="s">
        <v>15</v>
      </c>
      <c r="D117" s="5">
        <v>5.7973066993097202</v>
      </c>
      <c r="E117" s="5">
        <v>17.97574828104754</v>
      </c>
      <c r="F117" s="5">
        <v>15.854088162601656</v>
      </c>
      <c r="G117" s="5">
        <v>4.4038296403897235</v>
      </c>
      <c r="H117" s="5">
        <v>31.450797249647891</v>
      </c>
      <c r="I117" s="5">
        <v>7.0987789478179764</v>
      </c>
      <c r="J117" s="5">
        <v>141.56884878121988</v>
      </c>
      <c r="K117" s="5">
        <v>16.177939953276727</v>
      </c>
      <c r="L117" s="12">
        <v>240.32733771531113</v>
      </c>
      <c r="M117" s="10">
        <v>1</v>
      </c>
      <c r="N117" s="5">
        <v>2253.9001181758358</v>
      </c>
      <c r="O117" s="5">
        <v>890.08471075779232</v>
      </c>
      <c r="P117" s="10">
        <v>1</v>
      </c>
      <c r="Q117">
        <v>2.1124108586956198E-2</v>
      </c>
      <c r="R117">
        <v>0.59871140839755987</v>
      </c>
      <c r="S117" s="23">
        <v>1.0048453138819589</v>
      </c>
      <c r="T117">
        <v>0.68385908272810025</v>
      </c>
      <c r="U117" s="23">
        <v>0.31614091727189975</v>
      </c>
      <c r="W117" s="1" t="s">
        <v>15</v>
      </c>
      <c r="X117" s="5">
        <v>240.32733771531113</v>
      </c>
      <c r="Y117" s="5">
        <v>15.854088162601656</v>
      </c>
      <c r="Z117" s="5">
        <v>224.47324955270949</v>
      </c>
      <c r="AA117" s="8">
        <v>0.21683006171295735</v>
      </c>
      <c r="AB117" s="8">
        <v>2.4546062644956508</v>
      </c>
      <c r="AC117" s="7"/>
    </row>
    <row r="118" spans="1:29">
      <c r="A118" s="7"/>
      <c r="C118" s="1" t="s">
        <v>16</v>
      </c>
      <c r="D118" s="5">
        <v>17.97574828104754</v>
      </c>
      <c r="E118" s="5">
        <v>158.27348612221869</v>
      </c>
      <c r="F118" s="5">
        <v>4.4038296403897226</v>
      </c>
      <c r="G118" s="5">
        <v>24.341168760943898</v>
      </c>
      <c r="H118" s="5">
        <v>7.0987789478179764</v>
      </c>
      <c r="I118" s="5">
        <v>33.342182259375221</v>
      </c>
      <c r="J118" s="5">
        <v>16.177939953276727</v>
      </c>
      <c r="K118" s="5">
        <v>6.0927335269693828</v>
      </c>
      <c r="L118" s="12">
        <v>267.70586749203915</v>
      </c>
      <c r="M118" s="10">
        <v>2</v>
      </c>
      <c r="N118" s="5">
        <v>890.08471075779232</v>
      </c>
      <c r="O118" s="5">
        <v>5965.9304603085784</v>
      </c>
      <c r="P118" s="10">
        <v>2</v>
      </c>
      <c r="Q118">
        <v>0.36059218269091281</v>
      </c>
      <c r="R118">
        <v>2.4417614206530089E-2</v>
      </c>
      <c r="W118" s="1" t="s">
        <v>16</v>
      </c>
      <c r="X118" s="5">
        <v>267.70586749203915</v>
      </c>
      <c r="Y118" s="5">
        <v>24.341168760943898</v>
      </c>
      <c r="Z118" s="5">
        <v>243.36469873109525</v>
      </c>
      <c r="AA118" s="8">
        <v>4.7818625550452368E-3</v>
      </c>
      <c r="AB118" s="8">
        <v>1.2390160265391577</v>
      </c>
      <c r="AC118" s="7"/>
    </row>
    <row r="119" spans="1:29">
      <c r="A119" s="7"/>
      <c r="C119" s="1" t="s">
        <v>17</v>
      </c>
      <c r="D119" s="5">
        <v>149.92483864604662</v>
      </c>
      <c r="E119" s="5">
        <v>49.615280972265275</v>
      </c>
      <c r="F119" s="5">
        <v>31.450797249647891</v>
      </c>
      <c r="G119" s="5">
        <v>7.0987789478179764</v>
      </c>
      <c r="H119" s="5">
        <v>1346.6619810039372</v>
      </c>
      <c r="I119" s="5">
        <v>295.99164385608515</v>
      </c>
      <c r="J119" s="5">
        <v>284.64721147500279</v>
      </c>
      <c r="K119" s="5">
        <v>47.580664001888422</v>
      </c>
      <c r="L119" s="12">
        <v>2212.9711961526914</v>
      </c>
      <c r="M119" s="10" t="s">
        <v>40</v>
      </c>
      <c r="N119" s="10">
        <v>1</v>
      </c>
      <c r="O119" s="10">
        <v>2</v>
      </c>
      <c r="P119" s="10" t="s">
        <v>40</v>
      </c>
      <c r="Q119" s="10">
        <v>1</v>
      </c>
      <c r="R119" s="10">
        <v>2</v>
      </c>
      <c r="S119" s="10" t="s">
        <v>11</v>
      </c>
      <c r="T119" s="10" t="s">
        <v>42</v>
      </c>
      <c r="U119" s="10" t="s">
        <v>43</v>
      </c>
      <c r="W119" s="1" t="s">
        <v>17</v>
      </c>
      <c r="X119" s="5">
        <v>2212.9711961526914</v>
      </c>
      <c r="Y119" s="5">
        <v>1346.6619810039372</v>
      </c>
      <c r="Z119" s="5">
        <v>866.30921514875422</v>
      </c>
      <c r="AA119" s="8">
        <v>8.4844484593040936E-5</v>
      </c>
      <c r="AB119" s="8">
        <v>1.2640873153893473E-2</v>
      </c>
      <c r="AC119" s="7"/>
    </row>
    <row r="120" spans="1:29">
      <c r="A120" s="7"/>
      <c r="C120" s="1" t="s">
        <v>18</v>
      </c>
      <c r="D120" s="5">
        <v>49.615280972265289</v>
      </c>
      <c r="E120" s="5">
        <v>302.93077314315428</v>
      </c>
      <c r="F120" s="5">
        <v>7.0987789478179764</v>
      </c>
      <c r="G120" s="5">
        <v>33.342182259375221</v>
      </c>
      <c r="H120" s="5">
        <v>295.99164385608515</v>
      </c>
      <c r="I120" s="5">
        <v>1354.9548260815106</v>
      </c>
      <c r="J120" s="5">
        <v>47.580664001888422</v>
      </c>
      <c r="K120" s="5">
        <v>149.63775645567068</v>
      </c>
      <c r="L120" s="12">
        <v>2241.1519057177679</v>
      </c>
      <c r="M120" s="10">
        <v>1</v>
      </c>
      <c r="N120" s="5">
        <v>6202.6250654693458</v>
      </c>
      <c r="O120" s="5">
        <v>887.44966012739201</v>
      </c>
      <c r="P120" s="10">
        <v>1</v>
      </c>
      <c r="Q120">
        <v>5.4434729722016233E-2</v>
      </c>
      <c r="R120">
        <v>3.4713262155106249E-2</v>
      </c>
      <c r="S120" s="23">
        <v>0.29900073773604657</v>
      </c>
      <c r="T120">
        <v>0.41549045240290122</v>
      </c>
      <c r="U120" s="23">
        <v>0.58450954759709872</v>
      </c>
      <c r="W120" s="1" t="s">
        <v>18</v>
      </c>
      <c r="X120" s="5">
        <v>2241.1519057177679</v>
      </c>
      <c r="Y120" s="5">
        <v>1354.9548260815106</v>
      </c>
      <c r="Z120" s="5">
        <v>886.19707963625729</v>
      </c>
      <c r="AA120" s="8">
        <v>0.14558928947550501</v>
      </c>
      <c r="AB120" s="8">
        <v>4.3828155068222682E-5</v>
      </c>
      <c r="AC120" s="7"/>
    </row>
    <row r="121" spans="1:29">
      <c r="A121" s="7"/>
      <c r="C121" s="1" t="s">
        <v>19</v>
      </c>
      <c r="D121" s="5">
        <v>31.450797249647891</v>
      </c>
      <c r="E121" s="5">
        <v>7.0987789478179764</v>
      </c>
      <c r="F121" s="5">
        <v>141.56884878121986</v>
      </c>
      <c r="G121" s="5">
        <v>16.177939953276724</v>
      </c>
      <c r="H121" s="5">
        <v>284.64721147500279</v>
      </c>
      <c r="I121" s="5">
        <v>47.580664001888422</v>
      </c>
      <c r="J121" s="5">
        <v>1291.5180508127896</v>
      </c>
      <c r="K121" s="5">
        <v>144.99759689530882</v>
      </c>
      <c r="L121" s="12">
        <v>1965.0398881169519</v>
      </c>
      <c r="M121" s="10">
        <v>2</v>
      </c>
      <c r="N121" s="5">
        <v>887.44966012739201</v>
      </c>
      <c r="O121" s="5">
        <v>2022.4756142758713</v>
      </c>
      <c r="P121" s="10">
        <v>2</v>
      </c>
      <c r="Q121">
        <v>2.2310533361926212E-2</v>
      </c>
      <c r="R121">
        <v>0.18754221249699787</v>
      </c>
      <c r="W121" s="1" t="s">
        <v>19</v>
      </c>
      <c r="X121" s="5">
        <v>1965.0398881169519</v>
      </c>
      <c r="Y121" s="5">
        <v>1291.5180508127896</v>
      </c>
      <c r="Z121" s="5">
        <v>673.52183730416232</v>
      </c>
      <c r="AA121" s="8">
        <v>5.5704573365538829E-2</v>
      </c>
      <c r="AB121" s="8">
        <v>4.2462081062873516</v>
      </c>
      <c r="AC121" s="7"/>
    </row>
    <row r="122" spans="1:29">
      <c r="A122" s="7"/>
      <c r="C122" s="1" t="s">
        <v>20</v>
      </c>
      <c r="D122" s="5">
        <v>7.0987789478179772</v>
      </c>
      <c r="E122" s="5">
        <v>33.342182259375221</v>
      </c>
      <c r="F122" s="5">
        <v>16.177939953276724</v>
      </c>
      <c r="G122" s="5">
        <v>6.0927335269693819</v>
      </c>
      <c r="H122" s="5">
        <v>47.580664001888422</v>
      </c>
      <c r="I122" s="5">
        <v>149.63775645567068</v>
      </c>
      <c r="J122" s="5">
        <v>144.99759689530882</v>
      </c>
      <c r="K122" s="5">
        <v>31.924529038653656</v>
      </c>
      <c r="L122" s="12">
        <v>436.85218107896083</v>
      </c>
      <c r="M122" s="10" t="s">
        <v>41</v>
      </c>
      <c r="N122" s="10">
        <v>1</v>
      </c>
      <c r="O122" s="10">
        <v>2</v>
      </c>
      <c r="P122" s="10" t="s">
        <v>41</v>
      </c>
      <c r="Q122" s="10">
        <v>1</v>
      </c>
      <c r="R122" s="10">
        <v>2</v>
      </c>
      <c r="S122" s="10" t="s">
        <v>11</v>
      </c>
      <c r="T122" s="10" t="s">
        <v>42</v>
      </c>
      <c r="U122" s="10" t="s">
        <v>43</v>
      </c>
      <c r="W122" s="1" t="s">
        <v>20</v>
      </c>
      <c r="X122" s="5">
        <v>436.85218107896083</v>
      </c>
      <c r="Y122" s="5">
        <v>31.924529038653656</v>
      </c>
      <c r="Z122" s="5">
        <v>404.92765204030718</v>
      </c>
      <c r="AA122" s="8">
        <v>1.5019517546868679</v>
      </c>
      <c r="AB122" s="8">
        <v>3.1877205091464109</v>
      </c>
      <c r="AC122" s="7"/>
    </row>
    <row r="123" spans="1:29">
      <c r="A123" s="7"/>
      <c r="D123" s="12">
        <v>461.93932571297643</v>
      </c>
      <c r="E123" s="12">
        <v>2174.0122980133019</v>
      </c>
      <c r="F123" s="12">
        <v>240.3273377153111</v>
      </c>
      <c r="G123" s="12">
        <v>267.70586749203915</v>
      </c>
      <c r="H123" s="12">
        <v>2212.9711961526914</v>
      </c>
      <c r="I123" s="12">
        <v>2241.1519057177679</v>
      </c>
      <c r="J123" s="12">
        <v>1965.0398881169522</v>
      </c>
      <c r="K123" s="12">
        <v>436.85218107896083</v>
      </c>
      <c r="L123" s="1">
        <v>10000</v>
      </c>
      <c r="M123" s="10">
        <v>1</v>
      </c>
      <c r="N123" s="5">
        <v>3981.5904895708236</v>
      </c>
      <c r="O123" s="5">
        <v>898.68725812710727</v>
      </c>
      <c r="P123" s="10">
        <v>1</v>
      </c>
      <c r="Q123">
        <v>5.9637728261826235E-2</v>
      </c>
      <c r="R123">
        <v>1.3100934103477004</v>
      </c>
      <c r="S123" s="23">
        <v>2.9076745416099801</v>
      </c>
      <c r="T123">
        <v>0.91184109332637964</v>
      </c>
      <c r="U123" s="23">
        <v>8.8158906673620363E-2</v>
      </c>
      <c r="W123" s="1" t="s">
        <v>59</v>
      </c>
      <c r="X123" s="7">
        <v>10000</v>
      </c>
      <c r="Y123" s="7">
        <v>5545.7076560105088</v>
      </c>
      <c r="Z123" s="7">
        <v>4454.2923439894921</v>
      </c>
      <c r="AA123" s="7">
        <v>2.4478595105916807</v>
      </c>
      <c r="AB123" s="7">
        <v>12.425537499394101</v>
      </c>
      <c r="AC123" s="11">
        <v>14.873397009985782</v>
      </c>
    </row>
    <row r="124" spans="1:29">
      <c r="A124" s="7"/>
      <c r="M124" s="10">
        <v>2</v>
      </c>
      <c r="N124" s="5">
        <v>898.68725812710727</v>
      </c>
      <c r="O124" s="5">
        <v>4221.034994174961</v>
      </c>
      <c r="P124" s="10">
        <v>2</v>
      </c>
      <c r="Q124">
        <v>1.4976899880499155</v>
      </c>
      <c r="R124">
        <v>4.0253414950537914E-2</v>
      </c>
      <c r="AC124" s="7" t="s">
        <v>51</v>
      </c>
    </row>
    <row r="125" spans="1:29">
      <c r="A125" s="7"/>
      <c r="C125" s="1" t="s">
        <v>35</v>
      </c>
      <c r="L125" s="7"/>
      <c r="M125" s="7"/>
      <c r="N125" s="7"/>
      <c r="O125" s="7"/>
      <c r="P125" s="7"/>
      <c r="Q125" s="7"/>
      <c r="R125" s="7"/>
      <c r="S125" s="7"/>
      <c r="T125" s="7"/>
      <c r="U125" s="7"/>
      <c r="V125" s="7"/>
      <c r="W125" s="7"/>
      <c r="X125" s="7"/>
      <c r="Y125" s="7"/>
      <c r="Z125" s="7"/>
      <c r="AA125" s="7"/>
      <c r="AB125" s="7"/>
      <c r="AC125" s="7"/>
    </row>
    <row r="126" spans="1:29">
      <c r="A126" s="7"/>
      <c r="C126" s="1"/>
      <c r="D126" s="1" t="s">
        <v>13</v>
      </c>
      <c r="E126" s="1" t="s">
        <v>14</v>
      </c>
      <c r="F126" s="1" t="s">
        <v>15</v>
      </c>
      <c r="G126" s="1" t="s">
        <v>16</v>
      </c>
      <c r="H126" s="1" t="s">
        <v>17</v>
      </c>
      <c r="I126" s="1" t="s">
        <v>18</v>
      </c>
      <c r="J126" s="1" t="s">
        <v>19</v>
      </c>
      <c r="K126" s="1" t="s">
        <v>20</v>
      </c>
      <c r="AC126" s="7"/>
    </row>
    <row r="127" spans="1:29">
      <c r="A127" s="7"/>
      <c r="C127" s="1" t="s">
        <v>13</v>
      </c>
      <c r="D127" s="8">
        <v>1.1397230063839645</v>
      </c>
      <c r="E127" s="8">
        <v>32.383954428864783</v>
      </c>
      <c r="F127" s="8">
        <v>0.20619613027902223</v>
      </c>
      <c r="G127" s="8">
        <v>4.4444162758670824</v>
      </c>
      <c r="H127" s="8">
        <v>-3.873010782719859</v>
      </c>
      <c r="I127" s="8">
        <v>-7.8197989515630137</v>
      </c>
      <c r="J127" s="8">
        <v>-6.4888920534608348</v>
      </c>
      <c r="K127" s="8">
        <v>0.956150012825982</v>
      </c>
      <c r="L127" s="13">
        <v>20.948738066477134</v>
      </c>
      <c r="AC127" s="7"/>
    </row>
    <row r="128" spans="1:29">
      <c r="A128" s="7"/>
      <c r="C128" s="1" t="s">
        <v>14</v>
      </c>
      <c r="D128" s="8">
        <v>-4.1449577300420737</v>
      </c>
      <c r="E128" s="8">
        <v>-26.329921501707894</v>
      </c>
      <c r="F128" s="8">
        <v>-1.8629569518114</v>
      </c>
      <c r="G128" s="8">
        <v>1.7358965930608723</v>
      </c>
      <c r="H128" s="8">
        <v>6.7789579387142247</v>
      </c>
      <c r="I128" s="8">
        <v>23.926141940025232</v>
      </c>
      <c r="J128" s="8">
        <v>-1.752424388212438</v>
      </c>
      <c r="K128" s="8">
        <v>0.66426462133883557</v>
      </c>
      <c r="L128" s="13">
        <v>-0.98499947863463821</v>
      </c>
      <c r="AC128" s="7"/>
    </row>
    <row r="129" spans="1:29">
      <c r="A129" s="7"/>
      <c r="C129" s="1" t="s">
        <v>15</v>
      </c>
      <c r="D129" s="8">
        <v>-2.128492533909879</v>
      </c>
      <c r="E129" s="8">
        <v>-3.4995268295782949</v>
      </c>
      <c r="F129" s="8">
        <v>-1.7411809196615851</v>
      </c>
      <c r="G129" s="8">
        <v>0.63481688624408994</v>
      </c>
      <c r="H129" s="8">
        <v>1.5867465534029914</v>
      </c>
      <c r="I129" s="8">
        <v>0.95615001282598366</v>
      </c>
      <c r="J129" s="8">
        <v>-15.559053159008991</v>
      </c>
      <c r="K129" s="8">
        <v>-2.0242775468338481</v>
      </c>
      <c r="L129" s="13">
        <v>-21.774817536519532</v>
      </c>
      <c r="AC129" s="7"/>
    </row>
    <row r="130" spans="1:29">
      <c r="A130" s="7"/>
      <c r="C130" s="1" t="s">
        <v>16</v>
      </c>
      <c r="D130" s="8">
        <v>-4.2129642654639436</v>
      </c>
      <c r="E130" s="8">
        <v>0.72817877019260424</v>
      </c>
      <c r="F130" s="8">
        <v>3.2440492970902177</v>
      </c>
      <c r="G130" s="8">
        <v>-0.3387665801909151</v>
      </c>
      <c r="H130" s="8">
        <v>-1.0089799250911979</v>
      </c>
      <c r="I130" s="8">
        <v>-3.1687784462623911</v>
      </c>
      <c r="J130" s="8">
        <v>-5.2778160506188279</v>
      </c>
      <c r="K130" s="8">
        <v>-2.2278993109195397</v>
      </c>
      <c r="L130" s="13">
        <v>-12.262976511263993</v>
      </c>
      <c r="AC130" s="7"/>
    </row>
    <row r="131" spans="1:29">
      <c r="A131" s="7"/>
      <c r="C131" s="1" t="s">
        <v>17</v>
      </c>
      <c r="D131" s="8">
        <v>12.548883270343499</v>
      </c>
      <c r="E131" s="8">
        <v>3.497631287011238</v>
      </c>
      <c r="F131" s="8">
        <v>2.649830529383153</v>
      </c>
      <c r="G131" s="8">
        <v>-1.752424388212438</v>
      </c>
      <c r="H131" s="8">
        <v>0.33806141475632012</v>
      </c>
      <c r="I131" s="8">
        <v>-13.655611081573753</v>
      </c>
      <c r="J131" s="8">
        <v>-10.445552021228631</v>
      </c>
      <c r="K131" s="8">
        <v>5.7168690244513041</v>
      </c>
      <c r="L131" s="13">
        <v>-1.1023119650693083</v>
      </c>
      <c r="AC131" s="7"/>
    </row>
    <row r="132" spans="1:29">
      <c r="A132" s="7"/>
      <c r="C132" s="1" t="s">
        <v>18</v>
      </c>
      <c r="D132" s="8">
        <v>0.38620675135896515</v>
      </c>
      <c r="E132" s="8">
        <v>9.2036505220716958</v>
      </c>
      <c r="F132" s="8">
        <v>-1.0089799250911979</v>
      </c>
      <c r="G132" s="8">
        <v>-4.0462974966484033</v>
      </c>
      <c r="H132" s="8">
        <v>-22.99193081651401</v>
      </c>
      <c r="I132" s="8">
        <v>14.11771833419189</v>
      </c>
      <c r="J132" s="8">
        <v>17.684620766249527</v>
      </c>
      <c r="K132" s="8">
        <v>4.4252186426668514</v>
      </c>
      <c r="L132" s="13">
        <v>17.770206778285317</v>
      </c>
      <c r="AC132" s="7"/>
    </row>
    <row r="133" spans="1:29">
      <c r="A133" s="7"/>
      <c r="C133" s="1" t="s">
        <v>19</v>
      </c>
      <c r="D133" s="8">
        <v>-3.2541550272077426</v>
      </c>
      <c r="E133" s="8">
        <v>-1.0089799250911979</v>
      </c>
      <c r="F133" s="8">
        <v>11.880719099163565</v>
      </c>
      <c r="G133" s="8">
        <v>1.9210171488413645</v>
      </c>
      <c r="H133" s="8">
        <v>26.449738922259158</v>
      </c>
      <c r="I133" s="8">
        <v>7.9698698734535665</v>
      </c>
      <c r="J133" s="8">
        <v>8.5097407007138539</v>
      </c>
      <c r="K133" s="8">
        <v>12.485995883536727</v>
      </c>
      <c r="L133" s="13">
        <v>64.9539466756693</v>
      </c>
      <c r="AC133" s="7"/>
    </row>
    <row r="134" spans="1:29">
      <c r="A134" s="7"/>
      <c r="C134" s="1" t="s">
        <v>20</v>
      </c>
      <c r="D134" s="8">
        <v>-1.0089799250911986</v>
      </c>
      <c r="E134" s="8">
        <v>-9.1471792832768912</v>
      </c>
      <c r="F134" s="8">
        <v>3.0550175279122365</v>
      </c>
      <c r="G134" s="8">
        <v>-0.98829461792807227</v>
      </c>
      <c r="H134" s="8">
        <v>2.4798272583779157</v>
      </c>
      <c r="I134" s="8">
        <v>-8.3835111722206044</v>
      </c>
      <c r="J134" s="8">
        <v>-17.694843036690862</v>
      </c>
      <c r="K134" s="8">
        <v>-6.1124706206060084</v>
      </c>
      <c r="L134" s="13">
        <v>-37.800433869523488</v>
      </c>
      <c r="AC134" s="7"/>
    </row>
    <row r="135" spans="1:29">
      <c r="A135" s="7"/>
      <c r="D135" s="13">
        <v>-0.6747364536284095</v>
      </c>
      <c r="E135" s="13">
        <v>5.8278074684860428</v>
      </c>
      <c r="F135" s="13">
        <v>16.422694787264014</v>
      </c>
      <c r="G135" s="13">
        <v>1.6103638210335804</v>
      </c>
      <c r="H135" s="13">
        <v>9.7594105631855435</v>
      </c>
      <c r="I135" s="13">
        <v>13.942180508876909</v>
      </c>
      <c r="J135" s="13">
        <v>-31.02421924225721</v>
      </c>
      <c r="K135" s="13">
        <v>13.883850706460304</v>
      </c>
      <c r="L135" s="2">
        <v>59.494704318841571</v>
      </c>
      <c r="M135" t="s">
        <v>53</v>
      </c>
      <c r="AC135" s="7"/>
    </row>
    <row r="136" spans="1:29">
      <c r="A136" s="7"/>
      <c r="AC136" s="7"/>
    </row>
    <row r="137" spans="1:29">
      <c r="A137" s="7"/>
      <c r="AC137" s="7"/>
    </row>
    <row r="138" spans="1:29">
      <c r="A138" s="7"/>
      <c r="C138" t="s">
        <v>52</v>
      </c>
      <c r="AC138" s="7"/>
    </row>
    <row r="139" spans="1:29">
      <c r="A139" s="7"/>
      <c r="C139" s="1"/>
      <c r="D139" s="1" t="s">
        <v>13</v>
      </c>
      <c r="E139" s="1" t="s">
        <v>14</v>
      </c>
      <c r="F139" s="1" t="s">
        <v>15</v>
      </c>
      <c r="G139" s="1" t="s">
        <v>16</v>
      </c>
      <c r="H139" s="1" t="s">
        <v>17</v>
      </c>
      <c r="I139" s="1" t="s">
        <v>18</v>
      </c>
      <c r="J139" s="1" t="s">
        <v>19</v>
      </c>
      <c r="K139" s="1" t="s">
        <v>20</v>
      </c>
      <c r="L139" s="7"/>
      <c r="AC139" s="7"/>
    </row>
    <row r="140" spans="1:29">
      <c r="A140" s="7"/>
      <c r="C140" s="1" t="s">
        <v>13</v>
      </c>
      <c r="D140" s="8">
        <v>3.3309255887965496E-2</v>
      </c>
      <c r="E140" s="8">
        <v>5.4750471971099914</v>
      </c>
      <c r="F140" s="8">
        <v>7.0868381259891677E-3</v>
      </c>
      <c r="G140" s="8">
        <v>0.90091392270809467</v>
      </c>
      <c r="H140" s="8">
        <v>0.10274720677784815</v>
      </c>
      <c r="I140" s="8">
        <v>1.495971901732587</v>
      </c>
      <c r="J140" s="8">
        <v>1.7651183597891815</v>
      </c>
      <c r="K140" s="8">
        <v>0.1144139563812909</v>
      </c>
      <c r="L140" s="14">
        <v>9.8946086385129473</v>
      </c>
      <c r="AC140" s="7"/>
    </row>
    <row r="141" spans="1:29">
      <c r="A141" s="7"/>
      <c r="C141" s="1" t="s">
        <v>14</v>
      </c>
      <c r="D141" s="8">
        <v>0.10874468318938711</v>
      </c>
      <c r="E141" s="8">
        <v>0.48960786842320808</v>
      </c>
      <c r="F141" s="8">
        <v>0.2171582072151054</v>
      </c>
      <c r="G141" s="8">
        <v>1.8833540874114339E-2</v>
      </c>
      <c r="H141" s="8">
        <v>0.8216145563280175</v>
      </c>
      <c r="I141" s="8">
        <v>1.7568014706816137</v>
      </c>
      <c r="J141" s="8">
        <v>0.62051137303802117</v>
      </c>
      <c r="K141" s="8">
        <v>1.2978280081203266E-2</v>
      </c>
      <c r="L141" s="14">
        <v>4.0462499798306704</v>
      </c>
      <c r="AC141" s="7"/>
    </row>
    <row r="142" spans="1:29">
      <c r="A142" s="7"/>
      <c r="C142" s="1" t="s">
        <v>15</v>
      </c>
      <c r="D142" s="8">
        <v>2.4872822702893056</v>
      </c>
      <c r="E142" s="8">
        <v>0.87932775576958289</v>
      </c>
      <c r="F142" s="8">
        <v>0.21683006171295735</v>
      </c>
      <c r="G142" s="8">
        <v>8.0706822629585895E-2</v>
      </c>
      <c r="H142" s="8">
        <v>7.6310598508767757E-2</v>
      </c>
      <c r="I142" s="8">
        <v>0.11441395638129115</v>
      </c>
      <c r="J142" s="8">
        <v>1.9391748417703429</v>
      </c>
      <c r="K142" s="8">
        <v>0.29320311818305927</v>
      </c>
      <c r="L142" s="14">
        <v>6.0872494252448925</v>
      </c>
      <c r="AC142" s="7"/>
    </row>
    <row r="143" spans="1:29">
      <c r="A143" s="7"/>
      <c r="C143" s="1" t="s">
        <v>16</v>
      </c>
      <c r="D143" s="8">
        <v>1.3773040526190974</v>
      </c>
      <c r="E143" s="8">
        <v>3.3348757744633187E-3</v>
      </c>
      <c r="F143" s="8">
        <v>1.5305089175798552</v>
      </c>
      <c r="G143" s="8">
        <v>4.7818625550452368E-3</v>
      </c>
      <c r="H143" s="8">
        <v>0.17007364013484091</v>
      </c>
      <c r="I143" s="8">
        <v>0.33501653155115851</v>
      </c>
      <c r="J143" s="8">
        <v>3.1847578938757723</v>
      </c>
      <c r="K143" s="8">
        <v>2.7492532947048449</v>
      </c>
      <c r="L143" s="14">
        <v>9.3550310687950784</v>
      </c>
      <c r="AC143" s="7"/>
    </row>
    <row r="144" spans="1:29">
      <c r="A144" s="7"/>
      <c r="C144" s="1" t="s">
        <v>17</v>
      </c>
      <c r="D144" s="8">
        <v>0.9725507997260332</v>
      </c>
      <c r="E144" s="8">
        <v>0.23090311436739697</v>
      </c>
      <c r="F144" s="8">
        <v>0.20662225541756365</v>
      </c>
      <c r="G144" s="8">
        <v>0.62051137303802117</v>
      </c>
      <c r="H144" s="8">
        <v>8.4844484593040936E-5</v>
      </c>
      <c r="I144" s="8">
        <v>0.66139062321201614</v>
      </c>
      <c r="J144" s="8">
        <v>0.39825829174998423</v>
      </c>
      <c r="K144" s="8">
        <v>0.61725079455096254</v>
      </c>
      <c r="L144" s="14">
        <v>3.7075720965465715</v>
      </c>
      <c r="AC144" s="7"/>
    </row>
    <row r="145" spans="1:29">
      <c r="A145" s="7"/>
      <c r="C145" s="1" t="s">
        <v>18</v>
      </c>
      <c r="D145" s="8">
        <v>2.9831279275406609E-3</v>
      </c>
      <c r="E145" s="8">
        <v>0.27151706948591453</v>
      </c>
      <c r="F145" s="8">
        <v>0.17007364013484091</v>
      </c>
      <c r="G145" s="8">
        <v>0.56548628481962493</v>
      </c>
      <c r="H145" s="8">
        <v>1.944646029254433</v>
      </c>
      <c r="I145" s="8">
        <v>0.14558928947550501</v>
      </c>
      <c r="J145" s="8">
        <v>4.9969021578434321</v>
      </c>
      <c r="K145" s="8">
        <v>0.12716823073780903</v>
      </c>
      <c r="L145" s="14">
        <v>8.2243658296790993</v>
      </c>
      <c r="AC145" s="7"/>
    </row>
    <row r="146" spans="1:29">
      <c r="A146" s="7"/>
      <c r="C146" s="1" t="s">
        <v>19</v>
      </c>
      <c r="D146" s="8">
        <v>0.37862320511798053</v>
      </c>
      <c r="E146" s="8">
        <v>0.17007364013484091</v>
      </c>
      <c r="F146" s="8">
        <v>0.92302239731113267</v>
      </c>
      <c r="G146" s="8">
        <v>0.20521171567290963</v>
      </c>
      <c r="H146" s="8">
        <v>2.2581070886397092</v>
      </c>
      <c r="I146" s="8">
        <v>1.1569100139226638</v>
      </c>
      <c r="J146" s="8">
        <v>5.5704573365538829E-2</v>
      </c>
      <c r="K146" s="8">
        <v>0.99351770906598602</v>
      </c>
      <c r="L146" s="14">
        <v>6.1411703432307609</v>
      </c>
      <c r="AC146" s="7"/>
    </row>
    <row r="147" spans="1:29">
      <c r="A147" s="7"/>
      <c r="C147" s="1" t="s">
        <v>20</v>
      </c>
      <c r="D147" s="8">
        <v>0.17007364013484119</v>
      </c>
      <c r="E147" s="8">
        <v>3.8583286901898366</v>
      </c>
      <c r="F147" s="8">
        <v>0.49227670088481978</v>
      </c>
      <c r="G147" s="8">
        <v>0.19598207531601858</v>
      </c>
      <c r="H147" s="8">
        <v>0.12301607794977888</v>
      </c>
      <c r="I147" s="8">
        <v>0.49860969821198564</v>
      </c>
      <c r="J147" s="8">
        <v>2.4890666847205098</v>
      </c>
      <c r="K147" s="8">
        <v>1.5019517546868679</v>
      </c>
      <c r="L147" s="14">
        <v>9.3293053220946582</v>
      </c>
      <c r="N147">
        <v>0.664112608160075</v>
      </c>
      <c r="AC147" s="7"/>
    </row>
    <row r="148" spans="1:29">
      <c r="A148" s="7"/>
      <c r="B148" s="7"/>
      <c r="C148" s="7"/>
      <c r="D148" s="14">
        <v>5.5308710348921517</v>
      </c>
      <c r="E148" s="14">
        <v>11.378140211255234</v>
      </c>
      <c r="F148" s="14">
        <v>3.7635790183822646</v>
      </c>
      <c r="G148" s="14">
        <v>2.5924275976134146</v>
      </c>
      <c r="H148" s="14">
        <v>5.496600042077989</v>
      </c>
      <c r="I148" s="14">
        <v>6.1647034851688201</v>
      </c>
      <c r="J148" s="14">
        <v>15.449494176152783</v>
      </c>
      <c r="K148" s="14">
        <v>6.4097371383920239</v>
      </c>
      <c r="L148" s="15">
        <v>56.785552703934684</v>
      </c>
      <c r="M148" t="s">
        <v>11</v>
      </c>
      <c r="N148" s="7">
        <v>0.335887391839925</v>
      </c>
      <c r="O148" s="7" t="s">
        <v>61</v>
      </c>
      <c r="P148" s="7"/>
      <c r="Q148" s="7"/>
      <c r="R148" s="7"/>
      <c r="S148" s="7"/>
      <c r="T148" s="7"/>
      <c r="U148" s="7"/>
      <c r="V148" s="7"/>
      <c r="W148" s="7"/>
      <c r="X148" s="7"/>
      <c r="Y148" s="7"/>
      <c r="Z148" s="7"/>
      <c r="AA148" s="7"/>
      <c r="AB148" s="7"/>
      <c r="AC148" s="7"/>
    </row>
  </sheetData>
  <pageMargins left="0.7" right="0.7" top="0.75" bottom="0.75" header="0.3" footer="0.3"/>
  <pageSetup orientation="portrait" horizontalDpi="4294967292" verticalDpi="429496729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48"/>
  <sheetViews>
    <sheetView workbookViewId="0">
      <selection activeCell="N19" sqref="N19"/>
    </sheetView>
  </sheetViews>
  <sheetFormatPr baseColWidth="10" defaultColWidth="8.83203125" defaultRowHeight="14" x14ac:dyDescent="0"/>
  <sheetData>
    <row r="1" spans="1:29">
      <c r="A1" s="16" t="s">
        <v>0</v>
      </c>
      <c r="B1" s="16" t="s">
        <v>1</v>
      </c>
      <c r="C1" s="16" t="s">
        <v>2</v>
      </c>
      <c r="D1" s="16" t="s">
        <v>3</v>
      </c>
      <c r="E1" s="16" t="s">
        <v>4</v>
      </c>
      <c r="F1" s="16" t="s">
        <v>5</v>
      </c>
      <c r="G1" s="16" t="s">
        <v>6</v>
      </c>
      <c r="H1" s="16" t="s">
        <v>7</v>
      </c>
      <c r="I1" s="16" t="s">
        <v>8</v>
      </c>
      <c r="J1" s="16" t="s">
        <v>9</v>
      </c>
      <c r="K1" s="16" t="s">
        <v>10</v>
      </c>
      <c r="L1" s="7"/>
      <c r="M1" s="7"/>
      <c r="N1" s="7"/>
      <c r="O1" s="7"/>
      <c r="P1" s="7"/>
      <c r="Q1" s="7"/>
      <c r="R1" s="7"/>
      <c r="S1" s="7"/>
      <c r="T1" s="7"/>
      <c r="U1" s="7"/>
      <c r="V1" s="7"/>
      <c r="W1" s="7"/>
      <c r="X1" s="7"/>
      <c r="Y1" s="7"/>
      <c r="Z1" s="7"/>
      <c r="AA1" s="7"/>
      <c r="AB1" s="7"/>
      <c r="AC1" s="7"/>
    </row>
    <row r="2" spans="1:29">
      <c r="A2" s="18">
        <v>0.10039047476821412</v>
      </c>
      <c r="B2" s="18">
        <v>9.779628298625051E-2</v>
      </c>
      <c r="C2" s="18">
        <v>0.10130339975946437</v>
      </c>
      <c r="D2" s="18">
        <v>0</v>
      </c>
      <c r="E2" s="18">
        <v>0.35348421467128194</v>
      </c>
      <c r="F2" s="18">
        <v>0</v>
      </c>
      <c r="G2" s="18">
        <v>8.0172016707994495E-4</v>
      </c>
      <c r="H2" s="18">
        <v>0</v>
      </c>
      <c r="I2" s="18">
        <v>1.9842877323169241E-4</v>
      </c>
      <c r="J2" s="18">
        <v>0.64438174806573312</v>
      </c>
      <c r="K2" s="18">
        <v>1.1338883226732696E-3</v>
      </c>
      <c r="L2" s="1">
        <v>1</v>
      </c>
      <c r="N2" t="s">
        <v>36</v>
      </c>
      <c r="O2" s="4">
        <v>0.62019999999999997</v>
      </c>
      <c r="P2" s="4">
        <v>0.61960000000000004</v>
      </c>
      <c r="Y2" t="s">
        <v>85</v>
      </c>
      <c r="AC2" s="7"/>
    </row>
    <row r="3" spans="1:29">
      <c r="A3" t="s">
        <v>95</v>
      </c>
      <c r="B3" s="20">
        <v>62.003035723125834</v>
      </c>
      <c r="C3" s="17" t="s">
        <v>12</v>
      </c>
      <c r="D3" s="1" t="s">
        <v>13</v>
      </c>
      <c r="E3" s="1" t="s">
        <v>14</v>
      </c>
      <c r="F3" s="1" t="s">
        <v>15</v>
      </c>
      <c r="G3" s="1" t="s">
        <v>16</v>
      </c>
      <c r="H3" s="1" t="s">
        <v>17</v>
      </c>
      <c r="I3" s="1" t="s">
        <v>18</v>
      </c>
      <c r="J3" s="1" t="s">
        <v>19</v>
      </c>
      <c r="K3" s="1" t="s">
        <v>20</v>
      </c>
      <c r="L3" s="1"/>
      <c r="N3" t="s">
        <v>37</v>
      </c>
      <c r="O3" s="4">
        <v>0.62180000000000002</v>
      </c>
      <c r="P3" s="4">
        <v>0.62239999999999995</v>
      </c>
      <c r="Q3" t="s">
        <v>55</v>
      </c>
      <c r="Y3" s="1" t="s">
        <v>12</v>
      </c>
      <c r="Z3" t="s">
        <v>47</v>
      </c>
      <c r="AA3" t="s">
        <v>48</v>
      </c>
      <c r="AB3" t="s">
        <v>49</v>
      </c>
      <c r="AC3" s="7"/>
    </row>
    <row r="4" spans="1:29">
      <c r="A4" t="s">
        <v>21</v>
      </c>
      <c r="B4">
        <v>0.18585553008034733</v>
      </c>
      <c r="C4" s="1" t="s">
        <v>13</v>
      </c>
      <c r="D4" s="24">
        <v>23</v>
      </c>
      <c r="E4" s="24">
        <v>192</v>
      </c>
      <c r="F4" s="24">
        <v>5</v>
      </c>
      <c r="G4" s="24">
        <v>22</v>
      </c>
      <c r="H4" s="24">
        <v>3</v>
      </c>
      <c r="I4" s="24">
        <v>25</v>
      </c>
      <c r="J4" s="24">
        <v>33</v>
      </c>
      <c r="K4" s="24">
        <v>9</v>
      </c>
      <c r="L4" s="1">
        <v>312</v>
      </c>
      <c r="N4" t="s">
        <v>38</v>
      </c>
      <c r="O4" s="4">
        <v>0.38440000000000002</v>
      </c>
      <c r="P4" s="4">
        <v>0.38640000000000002</v>
      </c>
      <c r="Q4" t="s">
        <v>56</v>
      </c>
      <c r="T4" t="s">
        <v>44</v>
      </c>
      <c r="V4" t="s">
        <v>57</v>
      </c>
      <c r="Y4" s="1" t="s">
        <v>13</v>
      </c>
      <c r="Z4">
        <v>312</v>
      </c>
      <c r="AA4">
        <v>23</v>
      </c>
      <c r="AB4">
        <v>289</v>
      </c>
      <c r="AC4" s="7"/>
    </row>
    <row r="5" spans="1:29">
      <c r="C5" s="1" t="s">
        <v>14</v>
      </c>
      <c r="D5" s="24">
        <v>197</v>
      </c>
      <c r="E5" s="24">
        <v>1886</v>
      </c>
      <c r="F5" s="24">
        <v>26</v>
      </c>
      <c r="G5" s="24">
        <v>218</v>
      </c>
      <c r="H5" s="24">
        <v>30</v>
      </c>
      <c r="I5" s="24">
        <v>207</v>
      </c>
      <c r="J5" s="24">
        <v>4</v>
      </c>
      <c r="K5" s="24">
        <v>25</v>
      </c>
      <c r="L5" s="1">
        <v>2593</v>
      </c>
      <c r="M5" s="10" t="s">
        <v>39</v>
      </c>
      <c r="N5" s="10">
        <v>1</v>
      </c>
      <c r="O5" s="10">
        <v>2</v>
      </c>
      <c r="P5" s="10" t="s">
        <v>39</v>
      </c>
      <c r="Q5" s="10">
        <v>1</v>
      </c>
      <c r="R5" s="10">
        <v>2</v>
      </c>
      <c r="S5" s="10" t="s">
        <v>39</v>
      </c>
      <c r="T5" s="10">
        <v>1</v>
      </c>
      <c r="U5" s="10">
        <v>2</v>
      </c>
      <c r="V5" s="10" t="s">
        <v>11</v>
      </c>
      <c r="W5" t="s">
        <v>42</v>
      </c>
      <c r="X5" t="s">
        <v>43</v>
      </c>
      <c r="Y5" s="1" t="s">
        <v>14</v>
      </c>
      <c r="Z5">
        <v>2593</v>
      </c>
      <c r="AA5">
        <v>1886</v>
      </c>
      <c r="AB5">
        <v>707</v>
      </c>
      <c r="AC5" s="7"/>
    </row>
    <row r="6" spans="1:29">
      <c r="A6" t="s">
        <v>22</v>
      </c>
      <c r="B6" s="19">
        <v>0.10039047476821412</v>
      </c>
      <c r="C6" s="1" t="s">
        <v>15</v>
      </c>
      <c r="D6" s="24">
        <v>7</v>
      </c>
      <c r="E6" s="24">
        <v>28</v>
      </c>
      <c r="F6" s="24">
        <v>37</v>
      </c>
      <c r="G6" s="24">
        <v>9</v>
      </c>
      <c r="H6" s="24">
        <v>42</v>
      </c>
      <c r="I6" s="24">
        <v>11</v>
      </c>
      <c r="J6" s="24">
        <v>385</v>
      </c>
      <c r="K6" s="24">
        <v>48</v>
      </c>
      <c r="L6" s="1">
        <v>567</v>
      </c>
      <c r="M6" s="10">
        <v>1</v>
      </c>
      <c r="N6">
        <v>2895</v>
      </c>
      <c r="O6">
        <v>903</v>
      </c>
      <c r="P6" s="10">
        <v>1</v>
      </c>
      <c r="Q6">
        <v>1444.7592</v>
      </c>
      <c r="R6">
        <v>2353.2408</v>
      </c>
      <c r="S6" s="10">
        <v>1</v>
      </c>
      <c r="T6">
        <v>1455.7431978869836</v>
      </c>
      <c r="U6">
        <v>893.74550109136305</v>
      </c>
      <c r="V6" s="23">
        <v>3788.2758771014942</v>
      </c>
      <c r="W6">
        <v>1</v>
      </c>
      <c r="X6" s="23">
        <v>0</v>
      </c>
      <c r="Y6" s="1" t="s">
        <v>15</v>
      </c>
      <c r="Z6">
        <v>567</v>
      </c>
      <c r="AA6">
        <v>37</v>
      </c>
      <c r="AB6">
        <v>530</v>
      </c>
      <c r="AC6" s="7"/>
    </row>
    <row r="7" spans="1:29">
      <c r="A7" t="s">
        <v>23</v>
      </c>
      <c r="B7" s="19">
        <v>9.779628298625051E-2</v>
      </c>
      <c r="C7" s="1" t="s">
        <v>16</v>
      </c>
      <c r="D7" s="24">
        <v>24</v>
      </c>
      <c r="E7" s="24">
        <v>192</v>
      </c>
      <c r="F7" s="24">
        <v>4</v>
      </c>
      <c r="G7" s="24">
        <v>25</v>
      </c>
      <c r="H7" s="24">
        <v>7</v>
      </c>
      <c r="I7" s="24">
        <v>24</v>
      </c>
      <c r="J7" s="24">
        <v>46</v>
      </c>
      <c r="K7" s="24">
        <v>4</v>
      </c>
      <c r="L7" s="1">
        <v>326</v>
      </c>
      <c r="M7" s="10">
        <v>2</v>
      </c>
      <c r="N7">
        <v>909</v>
      </c>
      <c r="O7">
        <v>5293</v>
      </c>
      <c r="P7" s="10">
        <v>2</v>
      </c>
      <c r="Q7">
        <v>2359.2408</v>
      </c>
      <c r="R7">
        <v>3842.7592</v>
      </c>
      <c r="S7" s="10">
        <v>2</v>
      </c>
      <c r="T7">
        <v>891.47253556510225</v>
      </c>
      <c r="U7">
        <v>547.31464255804531</v>
      </c>
      <c r="Y7" s="1" t="s">
        <v>16</v>
      </c>
      <c r="Z7">
        <v>326</v>
      </c>
      <c r="AA7">
        <v>25</v>
      </c>
      <c r="AB7">
        <v>301</v>
      </c>
      <c r="AC7" s="7"/>
    </row>
    <row r="8" spans="1:29">
      <c r="A8" t="s">
        <v>24</v>
      </c>
      <c r="B8" s="19">
        <v>0.10130339975946437</v>
      </c>
      <c r="C8" s="1" t="s">
        <v>17</v>
      </c>
      <c r="D8" s="24">
        <v>8</v>
      </c>
      <c r="E8" s="24">
        <v>20</v>
      </c>
      <c r="F8" s="24">
        <v>36</v>
      </c>
      <c r="G8" s="24">
        <v>5</v>
      </c>
      <c r="H8" s="24">
        <v>33</v>
      </c>
      <c r="I8" s="24">
        <v>6</v>
      </c>
      <c r="J8" s="24">
        <v>390</v>
      </c>
      <c r="K8" s="24">
        <v>35</v>
      </c>
      <c r="L8" s="1">
        <v>533</v>
      </c>
      <c r="M8" s="10" t="s">
        <v>40</v>
      </c>
      <c r="N8">
        <v>1</v>
      </c>
      <c r="O8">
        <v>2</v>
      </c>
      <c r="P8" s="10" t="s">
        <v>40</v>
      </c>
      <c r="S8" s="10" t="s">
        <v>40</v>
      </c>
      <c r="Y8" s="1" t="s">
        <v>17</v>
      </c>
      <c r="Z8">
        <v>533</v>
      </c>
      <c r="AA8">
        <v>33</v>
      </c>
      <c r="AB8">
        <v>500</v>
      </c>
      <c r="AC8" s="7"/>
    </row>
    <row r="9" spans="1:29">
      <c r="C9" s="1" t="s">
        <v>18</v>
      </c>
      <c r="D9" s="24">
        <v>17</v>
      </c>
      <c r="E9" s="24">
        <v>214</v>
      </c>
      <c r="F9" s="24">
        <v>9</v>
      </c>
      <c r="G9" s="24">
        <v>26</v>
      </c>
      <c r="H9" s="24">
        <v>7</v>
      </c>
      <c r="I9" s="24">
        <v>22</v>
      </c>
      <c r="J9" s="24">
        <v>35</v>
      </c>
      <c r="K9" s="24">
        <v>14</v>
      </c>
      <c r="L9" s="1">
        <v>344</v>
      </c>
      <c r="M9" s="10">
        <v>1</v>
      </c>
      <c r="N9">
        <v>2890</v>
      </c>
      <c r="O9">
        <v>892</v>
      </c>
      <c r="P9" s="10">
        <v>1</v>
      </c>
      <c r="Q9">
        <v>1428.0832</v>
      </c>
      <c r="R9">
        <v>2353.9168</v>
      </c>
      <c r="S9" s="10">
        <v>1</v>
      </c>
      <c r="T9">
        <v>1496.5519726877535</v>
      </c>
      <c r="U9">
        <v>907.93384461262178</v>
      </c>
      <c r="V9" s="23">
        <v>3866.9762259575027</v>
      </c>
      <c r="W9">
        <v>1</v>
      </c>
      <c r="X9" s="23">
        <v>0</v>
      </c>
      <c r="Y9" s="1" t="s">
        <v>18</v>
      </c>
      <c r="Z9">
        <v>344</v>
      </c>
      <c r="AA9">
        <v>22</v>
      </c>
      <c r="AB9">
        <v>322</v>
      </c>
      <c r="AC9" s="7"/>
    </row>
    <row r="10" spans="1:29">
      <c r="A10" s="7"/>
      <c r="C10" s="1" t="s">
        <v>19</v>
      </c>
      <c r="D10" s="24">
        <v>47</v>
      </c>
      <c r="E10" s="24">
        <v>10</v>
      </c>
      <c r="F10" s="24">
        <v>395</v>
      </c>
      <c r="G10" s="24">
        <v>48</v>
      </c>
      <c r="H10" s="24">
        <v>376</v>
      </c>
      <c r="I10" s="24">
        <v>44</v>
      </c>
      <c r="J10" s="24">
        <v>3416</v>
      </c>
      <c r="K10" s="24">
        <v>408</v>
      </c>
      <c r="L10" s="1">
        <v>4744</v>
      </c>
      <c r="M10" s="10">
        <v>2</v>
      </c>
      <c r="N10">
        <v>886</v>
      </c>
      <c r="O10">
        <v>5332</v>
      </c>
      <c r="P10" s="10">
        <v>2</v>
      </c>
      <c r="Q10">
        <v>2347.9168</v>
      </c>
      <c r="R10">
        <v>3870.0832</v>
      </c>
      <c r="S10" s="10">
        <v>2</v>
      </c>
      <c r="T10">
        <v>910.25403034819624</v>
      </c>
      <c r="U10">
        <v>552.23637830893142</v>
      </c>
      <c r="Y10" s="1" t="s">
        <v>19</v>
      </c>
      <c r="Z10">
        <v>4744</v>
      </c>
      <c r="AA10">
        <v>3416</v>
      </c>
      <c r="AB10">
        <v>1328</v>
      </c>
      <c r="AC10" s="7"/>
    </row>
    <row r="11" spans="1:29">
      <c r="A11" s="7">
        <v>0</v>
      </c>
      <c r="B11" s="6">
        <v>0</v>
      </c>
      <c r="C11" s="1" t="s">
        <v>20</v>
      </c>
      <c r="D11" s="24">
        <v>4</v>
      </c>
      <c r="E11" s="24">
        <v>26</v>
      </c>
      <c r="F11" s="24">
        <v>29</v>
      </c>
      <c r="G11" s="24">
        <v>15</v>
      </c>
      <c r="H11" s="24">
        <v>36</v>
      </c>
      <c r="I11" s="24">
        <v>8</v>
      </c>
      <c r="J11" s="24">
        <v>425</v>
      </c>
      <c r="K11" s="24">
        <v>38</v>
      </c>
      <c r="L11" s="1">
        <v>581</v>
      </c>
      <c r="M11" s="10" t="s">
        <v>41</v>
      </c>
      <c r="N11">
        <v>1</v>
      </c>
      <c r="O11">
        <v>2</v>
      </c>
      <c r="P11" s="10" t="s">
        <v>41</v>
      </c>
      <c r="S11" s="10" t="s">
        <v>41</v>
      </c>
      <c r="Y11" s="1" t="s">
        <v>20</v>
      </c>
      <c r="Z11">
        <v>581</v>
      </c>
      <c r="AA11">
        <v>38</v>
      </c>
      <c r="AB11">
        <v>543</v>
      </c>
      <c r="AC11" s="7"/>
    </row>
    <row r="12" spans="1:29">
      <c r="A12" s="7"/>
      <c r="B12" s="6"/>
      <c r="C12" s="1"/>
      <c r="D12" s="1">
        <v>327</v>
      </c>
      <c r="E12" s="1">
        <v>2568</v>
      </c>
      <c r="F12" s="1">
        <v>541</v>
      </c>
      <c r="G12" s="1">
        <v>368</v>
      </c>
      <c r="H12" s="1">
        <v>534</v>
      </c>
      <c r="I12" s="1">
        <v>347</v>
      </c>
      <c r="J12" s="1">
        <v>4734</v>
      </c>
      <c r="K12" s="1">
        <v>581</v>
      </c>
      <c r="L12" s="1">
        <v>10000</v>
      </c>
      <c r="M12" s="10">
        <v>1</v>
      </c>
      <c r="N12">
        <v>5236</v>
      </c>
      <c r="O12">
        <v>920</v>
      </c>
      <c r="P12" s="10">
        <v>1</v>
      </c>
      <c r="Q12">
        <v>3777.3216000000002</v>
      </c>
      <c r="R12">
        <v>2378.6783999999998</v>
      </c>
      <c r="S12" s="10">
        <v>1</v>
      </c>
      <c r="T12">
        <v>563.29402151687566</v>
      </c>
      <c r="U12">
        <v>894.50624120795806</v>
      </c>
      <c r="V12" s="23">
        <v>3792.4044295651247</v>
      </c>
      <c r="W12">
        <v>1</v>
      </c>
      <c r="X12" s="23">
        <v>0</v>
      </c>
      <c r="Y12" s="1" t="s">
        <v>46</v>
      </c>
      <c r="Z12" s="7">
        <v>10000</v>
      </c>
      <c r="AA12" s="7">
        <v>5480</v>
      </c>
      <c r="AB12" s="7">
        <v>4520</v>
      </c>
      <c r="AC12" s="7"/>
    </row>
    <row r="13" spans="1:29">
      <c r="A13" s="7"/>
      <c r="C13" s="1" t="s">
        <v>25</v>
      </c>
      <c r="D13" s="4">
        <v>0</v>
      </c>
      <c r="E13" s="4">
        <v>0</v>
      </c>
      <c r="F13" s="4">
        <v>0</v>
      </c>
      <c r="G13" s="4">
        <v>0</v>
      </c>
      <c r="H13" s="4">
        <v>0</v>
      </c>
      <c r="I13" s="4">
        <v>0</v>
      </c>
      <c r="J13" s="4">
        <v>0</v>
      </c>
      <c r="K13" s="4">
        <v>0</v>
      </c>
      <c r="M13" s="10">
        <v>2</v>
      </c>
      <c r="N13">
        <v>900</v>
      </c>
      <c r="O13">
        <v>2944</v>
      </c>
      <c r="P13" s="10">
        <v>2</v>
      </c>
      <c r="Q13">
        <v>2358.6783999999998</v>
      </c>
      <c r="R13">
        <v>1485.3216</v>
      </c>
      <c r="S13" s="10">
        <v>2</v>
      </c>
      <c r="T13">
        <v>902.0910500670883</v>
      </c>
      <c r="U13">
        <v>1432.5131167732025</v>
      </c>
      <c r="AC13" s="7"/>
    </row>
    <row r="14" spans="1:29">
      <c r="A14" s="7"/>
      <c r="C14" s="1"/>
      <c r="D14" s="1" t="s">
        <v>13</v>
      </c>
      <c r="E14" s="1" t="s">
        <v>14</v>
      </c>
      <c r="F14" s="1" t="s">
        <v>15</v>
      </c>
      <c r="G14" s="1" t="s">
        <v>16</v>
      </c>
      <c r="H14" s="1" t="s">
        <v>17</v>
      </c>
      <c r="I14" s="1" t="s">
        <v>18</v>
      </c>
      <c r="J14" s="1" t="s">
        <v>19</v>
      </c>
      <c r="K14" s="1" t="s">
        <v>20</v>
      </c>
      <c r="L14" s="1"/>
      <c r="V14" s="7"/>
      <c r="W14" s="7"/>
      <c r="X14" s="7"/>
      <c r="Y14" s="7"/>
      <c r="Z14" s="7"/>
      <c r="AA14" s="7"/>
      <c r="AB14" s="7"/>
      <c r="AC14" s="7"/>
    </row>
    <row r="15" spans="1:29">
      <c r="A15" s="7"/>
      <c r="B15" s="4">
        <v>0.72941007204743047</v>
      </c>
      <c r="C15" s="1" t="s">
        <v>13</v>
      </c>
      <c r="D15" s="4">
        <v>0</v>
      </c>
      <c r="E15" s="4">
        <v>0</v>
      </c>
      <c r="F15" s="4">
        <v>0</v>
      </c>
      <c r="G15" s="4">
        <v>0</v>
      </c>
      <c r="H15" s="4">
        <v>0</v>
      </c>
      <c r="I15" s="4">
        <v>0</v>
      </c>
      <c r="J15" s="4">
        <v>0</v>
      </c>
      <c r="K15" s="4">
        <v>0</v>
      </c>
      <c r="AC15" s="7"/>
    </row>
    <row r="16" spans="1:29">
      <c r="A16" s="7"/>
      <c r="B16" s="4">
        <v>8.2220985477661171E-2</v>
      </c>
      <c r="C16" s="1" t="s">
        <v>14</v>
      </c>
      <c r="D16" s="4">
        <v>0</v>
      </c>
      <c r="E16" s="4">
        <v>0</v>
      </c>
      <c r="F16" s="4">
        <v>0</v>
      </c>
      <c r="G16" s="4">
        <v>0</v>
      </c>
      <c r="H16" s="4">
        <v>0</v>
      </c>
      <c r="I16" s="4">
        <v>0</v>
      </c>
      <c r="J16" s="4">
        <v>0</v>
      </c>
      <c r="K16" s="4">
        <v>0</v>
      </c>
      <c r="O16" s="8"/>
      <c r="AC16" s="7"/>
    </row>
    <row r="17" spans="1:29">
      <c r="A17" s="7"/>
      <c r="B17" s="4">
        <v>7.9065949822377829E-2</v>
      </c>
      <c r="C17" s="1" t="s">
        <v>15</v>
      </c>
      <c r="D17" s="4">
        <v>0</v>
      </c>
      <c r="E17" s="4">
        <v>0</v>
      </c>
      <c r="F17" s="4">
        <v>0</v>
      </c>
      <c r="G17" s="4">
        <v>0</v>
      </c>
      <c r="H17" s="4">
        <v>0</v>
      </c>
      <c r="I17" s="4">
        <v>0</v>
      </c>
      <c r="J17" s="4">
        <v>0</v>
      </c>
      <c r="K17" s="4">
        <v>0</v>
      </c>
      <c r="AC17" s="7"/>
    </row>
    <row r="18" spans="1:29">
      <c r="A18" s="7"/>
      <c r="B18" s="4">
        <v>8.9125178843163684E-3</v>
      </c>
      <c r="C18" s="1" t="s">
        <v>16</v>
      </c>
      <c r="D18" s="4">
        <v>0</v>
      </c>
      <c r="E18" s="4">
        <v>0</v>
      </c>
      <c r="F18" s="4">
        <v>0</v>
      </c>
      <c r="G18" s="4">
        <v>0</v>
      </c>
      <c r="H18" s="4">
        <v>0</v>
      </c>
      <c r="I18" s="4">
        <v>0</v>
      </c>
      <c r="J18" s="4">
        <v>0</v>
      </c>
      <c r="K18" s="4">
        <v>0</v>
      </c>
      <c r="AC18" s="7"/>
    </row>
    <row r="19" spans="1:29">
      <c r="A19" s="7"/>
      <c r="B19" s="4">
        <v>8.1397341157200459E-2</v>
      </c>
      <c r="C19" s="1" t="s">
        <v>17</v>
      </c>
      <c r="D19" s="4">
        <v>0</v>
      </c>
      <c r="E19" s="4">
        <v>0</v>
      </c>
      <c r="F19" s="4">
        <v>0</v>
      </c>
      <c r="G19" s="4">
        <v>0</v>
      </c>
      <c r="H19" s="4">
        <v>0</v>
      </c>
      <c r="I19" s="4">
        <v>0</v>
      </c>
      <c r="J19" s="4">
        <v>0</v>
      </c>
      <c r="K19" s="4">
        <v>0</v>
      </c>
      <c r="AC19" s="7"/>
    </row>
    <row r="20" spans="1:29">
      <c r="A20" s="7"/>
      <c r="B20" s="4">
        <v>9.175318331457346E-3</v>
      </c>
      <c r="C20" s="1" t="s">
        <v>18</v>
      </c>
      <c r="D20" s="4">
        <v>0</v>
      </c>
      <c r="E20" s="4">
        <v>0</v>
      </c>
      <c r="F20" s="4">
        <v>0</v>
      </c>
      <c r="G20" s="4">
        <v>0</v>
      </c>
      <c r="H20" s="4">
        <v>0</v>
      </c>
      <c r="I20" s="4">
        <v>0</v>
      </c>
      <c r="J20" s="4">
        <v>0</v>
      </c>
      <c r="K20" s="4">
        <v>0</v>
      </c>
      <c r="AC20" s="7"/>
    </row>
    <row r="21" spans="1:29">
      <c r="A21" s="7"/>
      <c r="B21" s="4">
        <v>8.8232372135268414E-3</v>
      </c>
      <c r="C21" s="1" t="s">
        <v>19</v>
      </c>
      <c r="D21" s="4">
        <v>0</v>
      </c>
      <c r="E21" s="4">
        <v>0</v>
      </c>
      <c r="F21" s="4">
        <v>0</v>
      </c>
      <c r="G21" s="4">
        <v>0</v>
      </c>
      <c r="H21" s="4">
        <v>0</v>
      </c>
      <c r="I21" s="4">
        <v>0</v>
      </c>
      <c r="J21" s="4">
        <v>0</v>
      </c>
      <c r="K21" s="4">
        <v>0</v>
      </c>
      <c r="M21" t="s">
        <v>62</v>
      </c>
      <c r="AC21" s="7"/>
    </row>
    <row r="22" spans="1:29">
      <c r="A22" s="7"/>
      <c r="B22" s="4">
        <v>9.9457806602947039E-4</v>
      </c>
      <c r="C22" s="1" t="s">
        <v>20</v>
      </c>
      <c r="D22" s="4">
        <v>0</v>
      </c>
      <c r="E22" s="4">
        <v>0</v>
      </c>
      <c r="F22" s="4">
        <v>0</v>
      </c>
      <c r="G22" s="4">
        <v>0</v>
      </c>
      <c r="H22" s="4">
        <v>0</v>
      </c>
      <c r="I22" s="4">
        <v>0</v>
      </c>
      <c r="J22" s="4">
        <v>0</v>
      </c>
      <c r="K22" s="4">
        <v>0</v>
      </c>
      <c r="AC22" s="7"/>
    </row>
    <row r="23" spans="1:29">
      <c r="A23" s="7"/>
      <c r="AC23" s="7"/>
    </row>
    <row r="24" spans="1:29">
      <c r="A24" s="7"/>
      <c r="C24" s="1" t="s">
        <v>26</v>
      </c>
      <c r="D24" s="4">
        <v>2.9063820481069938E-2</v>
      </c>
      <c r="E24" s="4">
        <v>0.25783494649100913</v>
      </c>
      <c r="F24" s="4">
        <v>3.1504343850813268E-3</v>
      </c>
      <c r="G24" s="4">
        <v>2.7948565180202212E-2</v>
      </c>
      <c r="H24" s="4">
        <v>3.2433301947542171E-3</v>
      </c>
      <c r="I24" s="4">
        <v>2.8772675215283428E-2</v>
      </c>
      <c r="J24" s="4">
        <v>3.5156764659970971E-4</v>
      </c>
      <c r="K24" s="4">
        <v>3.1188750772819652E-3</v>
      </c>
      <c r="O24">
        <v>8.8136914943999986E-2</v>
      </c>
      <c r="P24">
        <v>5.5502125056000003E-2</v>
      </c>
      <c r="Q24">
        <v>0.14527652505599997</v>
      </c>
      <c r="R24">
        <v>9.1484434943999993E-2</v>
      </c>
      <c r="S24">
        <v>0.14355844505600002</v>
      </c>
      <c r="T24">
        <v>9.040251494400002E-2</v>
      </c>
      <c r="U24">
        <v>0.23662811494399996</v>
      </c>
      <c r="V24">
        <v>0.149010925056</v>
      </c>
      <c r="AC24" s="7"/>
    </row>
    <row r="25" spans="1:29">
      <c r="A25" s="7"/>
      <c r="C25" s="1"/>
      <c r="D25" s="1" t="s">
        <v>13</v>
      </c>
      <c r="E25" s="1" t="s">
        <v>14</v>
      </c>
      <c r="F25" s="1" t="s">
        <v>15</v>
      </c>
      <c r="G25" s="1" t="s">
        <v>16</v>
      </c>
      <c r="H25" s="1" t="s">
        <v>17</v>
      </c>
      <c r="I25" s="1" t="s">
        <v>18</v>
      </c>
      <c r="J25" s="1" t="s">
        <v>19</v>
      </c>
      <c r="K25" s="1" t="s">
        <v>20</v>
      </c>
      <c r="L25" s="1"/>
      <c r="N25" s="7"/>
      <c r="O25" s="1" t="s">
        <v>13</v>
      </c>
      <c r="P25" s="1" t="s">
        <v>14</v>
      </c>
      <c r="Q25" s="1" t="s">
        <v>15</v>
      </c>
      <c r="R25" s="1" t="s">
        <v>16</v>
      </c>
      <c r="S25" s="1" t="s">
        <v>17</v>
      </c>
      <c r="T25" s="1" t="s">
        <v>18</v>
      </c>
      <c r="U25" s="1" t="s">
        <v>19</v>
      </c>
      <c r="V25" s="1" t="s">
        <v>20</v>
      </c>
      <c r="AC25" s="7"/>
    </row>
    <row r="26" spans="1:29">
      <c r="A26" s="7"/>
      <c r="B26" s="4">
        <v>8.2220985477661171E-2</v>
      </c>
      <c r="C26" s="1" t="s">
        <v>13</v>
      </c>
      <c r="D26" s="4">
        <v>2.3896559616994025E-3</v>
      </c>
      <c r="E26" s="4">
        <v>2.1199443391070806E-2</v>
      </c>
      <c r="F26" s="4">
        <v>2.5903181982409615E-4</v>
      </c>
      <c r="G26" s="4">
        <v>2.297958571802873E-3</v>
      </c>
      <c r="H26" s="4">
        <v>2.6666980484214647E-4</v>
      </c>
      <c r="I26" s="4">
        <v>2.3657177110292804E-3</v>
      </c>
      <c r="J26" s="4">
        <v>2.8906238365490246E-5</v>
      </c>
      <c r="K26" s="4">
        <v>2.5643698243583984E-4</v>
      </c>
      <c r="M26" s="4">
        <v>8.8425005615999988E-2</v>
      </c>
      <c r="N26" s="1" t="s">
        <v>13</v>
      </c>
      <c r="O26">
        <v>7.7935071989001124E-3</v>
      </c>
      <c r="P26">
        <v>4.9077757197767335E-3</v>
      </c>
      <c r="Q26">
        <v>1.2846077543949761E-2</v>
      </c>
      <c r="R26">
        <v>8.0895116736997841E-3</v>
      </c>
      <c r="S26">
        <v>1.2694156310301028E-2</v>
      </c>
      <c r="T26">
        <v>7.9938428916237255E-3</v>
      </c>
      <c r="U26">
        <v>2.0923842392826686E-2</v>
      </c>
      <c r="V26">
        <v>1.3176291884922153E-2</v>
      </c>
      <c r="AC26" s="7"/>
    </row>
    <row r="27" spans="1:29">
      <c r="A27" s="7"/>
      <c r="B27" s="4">
        <v>0.72941007204743047</v>
      </c>
      <c r="C27" s="1" t="s">
        <v>14</v>
      </c>
      <c r="D27" s="4">
        <v>2.119944339107081E-2</v>
      </c>
      <c r="E27" s="4">
        <v>0.18806740689635235</v>
      </c>
      <c r="F27" s="4">
        <v>2.297958571802873E-3</v>
      </c>
      <c r="G27" s="4">
        <v>2.0385964941713602E-2</v>
      </c>
      <c r="H27" s="4">
        <v>2.36571771102928E-3</v>
      </c>
      <c r="I27" s="4">
        <v>2.0987079101777203E-2</v>
      </c>
      <c r="J27" s="4">
        <v>2.5643698243583984E-4</v>
      </c>
      <c r="K27" s="4">
        <v>2.2749388948271735E-3</v>
      </c>
      <c r="M27" s="4">
        <v>5.5215354384E-2</v>
      </c>
      <c r="N27" s="1" t="s">
        <v>14</v>
      </c>
      <c r="O27">
        <v>4.8665109929454248E-3</v>
      </c>
      <c r="P27">
        <v>3.064569504032126E-3</v>
      </c>
      <c r="Q27">
        <v>8.0214948146430931E-3</v>
      </c>
      <c r="R27">
        <v>5.0513454960529527E-3</v>
      </c>
      <c r="S27">
        <v>7.9266304185830333E-3</v>
      </c>
      <c r="T27">
        <v>4.9916068998378171E-3</v>
      </c>
      <c r="U27">
        <v>1.3065505223850844E-2</v>
      </c>
      <c r="V27">
        <v>8.2276910340547058E-3</v>
      </c>
      <c r="AC27" s="7"/>
    </row>
    <row r="28" spans="1:29">
      <c r="A28" s="7"/>
      <c r="B28" s="4">
        <v>8.9125178843163684E-3</v>
      </c>
      <c r="C28" s="1" t="s">
        <v>15</v>
      </c>
      <c r="D28" s="4">
        <v>2.590318198240962E-4</v>
      </c>
      <c r="E28" s="4">
        <v>2.297958571802873E-3</v>
      </c>
      <c r="F28" s="4">
        <v>2.8078302800402564E-5</v>
      </c>
      <c r="G28" s="4">
        <v>2.4909208700953393E-4</v>
      </c>
      <c r="H28" s="4">
        <v>2.890623836549025E-5</v>
      </c>
      <c r="I28" s="4">
        <v>2.5643698243583984E-4</v>
      </c>
      <c r="J28" s="4">
        <v>3.1333529378669295E-6</v>
      </c>
      <c r="K28" s="4">
        <v>2.7797029905224112E-5</v>
      </c>
      <c r="M28" s="4">
        <v>0.14537987438399999</v>
      </c>
      <c r="N28" s="1" t="s">
        <v>15</v>
      </c>
      <c r="O28">
        <v>1.2813333623152009E-2</v>
      </c>
      <c r="P28">
        <v>8.0688919686863394E-3</v>
      </c>
      <c r="Q28">
        <v>2.1120282963585302E-2</v>
      </c>
      <c r="R28">
        <v>1.3299995660249938E-2</v>
      </c>
      <c r="S28">
        <v>2.0870508709003647E-2</v>
      </c>
      <c r="T28">
        <v>1.3142706266556404E-2</v>
      </c>
      <c r="U28">
        <v>3.4400965626281428E-2</v>
      </c>
      <c r="V28">
        <v>2.1663189566484917E-2</v>
      </c>
      <c r="AC28" s="7"/>
    </row>
    <row r="29" spans="1:29">
      <c r="A29" s="7"/>
      <c r="B29" s="4">
        <v>7.9065949822377829E-2</v>
      </c>
      <c r="C29" s="1" t="s">
        <v>16</v>
      </c>
      <c r="D29" s="4">
        <v>2.297958571802873E-3</v>
      </c>
      <c r="E29" s="4">
        <v>2.0385964941713599E-2</v>
      </c>
      <c r="F29" s="4">
        <v>2.4909208700953393E-4</v>
      </c>
      <c r="G29" s="4">
        <v>2.2097798521453242E-3</v>
      </c>
      <c r="H29" s="4">
        <v>2.5643698243583984E-4</v>
      </c>
      <c r="I29" s="4">
        <v>2.2749388948271735E-3</v>
      </c>
      <c r="J29" s="4">
        <v>2.7797029905224108E-5</v>
      </c>
      <c r="K29" s="4">
        <v>2.4659682036264063E-4</v>
      </c>
      <c r="M29" s="4">
        <v>9.0779765616000013E-2</v>
      </c>
      <c r="N29" s="1" t="s">
        <v>16</v>
      </c>
      <c r="O29">
        <v>8.0010484807336475E-3</v>
      </c>
      <c r="P29">
        <v>5.0384699037736022E-3</v>
      </c>
      <c r="Q29">
        <v>1.3188168894090632E-2</v>
      </c>
      <c r="R29">
        <v>8.3049355617285207E-3</v>
      </c>
      <c r="S29">
        <v>1.3032201994381097E-2</v>
      </c>
      <c r="T29">
        <v>8.2067191177132605E-3</v>
      </c>
      <c r="U29">
        <v>2.1481044812772226E-2</v>
      </c>
      <c r="V29">
        <v>1.3527176850807024E-2</v>
      </c>
      <c r="AC29" s="7"/>
    </row>
    <row r="30" spans="1:29">
      <c r="A30" s="7"/>
      <c r="B30" s="4">
        <v>9.175318331457346E-3</v>
      </c>
      <c r="C30" s="1" t="s">
        <v>17</v>
      </c>
      <c r="D30" s="4">
        <v>2.6666980484214647E-4</v>
      </c>
      <c r="E30" s="4">
        <v>2.36571771102928E-3</v>
      </c>
      <c r="F30" s="4">
        <v>2.890623836549025E-5</v>
      </c>
      <c r="G30" s="4">
        <v>2.5643698243583984E-4</v>
      </c>
      <c r="H30" s="4">
        <v>2.9758586990897494E-5</v>
      </c>
      <c r="I30" s="4">
        <v>2.6399845434785848E-4</v>
      </c>
      <c r="J30" s="4">
        <v>3.2257450725936345E-6</v>
      </c>
      <c r="K30" s="4">
        <v>2.8616671670110662E-5</v>
      </c>
      <c r="M30" s="4">
        <v>0.14439491438399998</v>
      </c>
      <c r="N30" s="1" t="s">
        <v>17</v>
      </c>
      <c r="O30">
        <v>1.2726522287408767E-2</v>
      </c>
      <c r="P30">
        <v>8.0142245955911809E-3</v>
      </c>
      <c r="Q30">
        <v>2.0977191397466146E-2</v>
      </c>
      <c r="R30">
        <v>1.3209887151207494E-2</v>
      </c>
      <c r="S30">
        <v>2.0729109382961287E-2</v>
      </c>
      <c r="T30">
        <v>1.3053663405437161E-2</v>
      </c>
      <c r="U30">
        <v>3.4167896398186182E-2</v>
      </c>
      <c r="V30">
        <v>2.1516419765741757E-2</v>
      </c>
      <c r="AC30" s="7"/>
    </row>
    <row r="31" spans="1:29">
      <c r="A31" s="7"/>
      <c r="B31" s="4">
        <v>8.1397341157200459E-2</v>
      </c>
      <c r="C31" s="1" t="s">
        <v>18</v>
      </c>
      <c r="D31" s="4">
        <v>2.3657177110292795E-3</v>
      </c>
      <c r="E31" s="4">
        <v>2.0987079101777197E-2</v>
      </c>
      <c r="F31" s="4">
        <v>2.5643698243583979E-4</v>
      </c>
      <c r="G31" s="4">
        <v>2.2749388948271731E-3</v>
      </c>
      <c r="H31" s="4">
        <v>2.6399845434785842E-4</v>
      </c>
      <c r="I31" s="4">
        <v>2.3420192605037513E-3</v>
      </c>
      <c r="J31" s="4">
        <v>2.8616671670110655E-5</v>
      </c>
      <c r="K31" s="4">
        <v>2.5386813869221009E-4</v>
      </c>
      <c r="M31" s="4">
        <v>9.0164725616000002E-2</v>
      </c>
      <c r="N31" s="1" t="s">
        <v>18</v>
      </c>
      <c r="O31">
        <v>7.9468407525664884E-3</v>
      </c>
      <c r="P31">
        <v>5.0043338767791594E-3</v>
      </c>
      <c r="Q31">
        <v>1.3098818020120187E-2</v>
      </c>
      <c r="R31">
        <v>8.248668974860561E-3</v>
      </c>
      <c r="S31">
        <v>1.2943907808333854E-2</v>
      </c>
      <c r="T31">
        <v>8.1511179549221009E-3</v>
      </c>
      <c r="U31">
        <v>2.1335509056957067E-2</v>
      </c>
      <c r="V31">
        <v>1.343552917146058E-2</v>
      </c>
      <c r="AC31" s="7"/>
    </row>
    <row r="32" spans="1:29">
      <c r="A32" s="7"/>
      <c r="B32" s="4">
        <v>9.9457806602947039E-4</v>
      </c>
      <c r="C32" s="1" t="s">
        <v>19</v>
      </c>
      <c r="D32" s="4">
        <v>2.890623836549025E-5</v>
      </c>
      <c r="E32" s="4">
        <v>2.5643698243583984E-4</v>
      </c>
      <c r="F32" s="4">
        <v>3.13335293786693E-6</v>
      </c>
      <c r="G32" s="4">
        <v>2.7797029905224112E-5</v>
      </c>
      <c r="H32" s="4">
        <v>3.2257450725936349E-6</v>
      </c>
      <c r="I32" s="4">
        <v>2.8616671670110666E-5</v>
      </c>
      <c r="J32" s="4">
        <v>3.4966147003367158E-7</v>
      </c>
      <c r="K32" s="4">
        <v>3.101964742550612E-6</v>
      </c>
      <c r="M32" s="4">
        <v>0.23740020561599998</v>
      </c>
      <c r="N32" s="1" t="s">
        <v>19</v>
      </c>
      <c r="O32">
        <v>2.0923721730065497E-2</v>
      </c>
      <c r="P32">
        <v>1.3176215900419345E-2</v>
      </c>
      <c r="Q32">
        <v>3.4488676919472369E-2</v>
      </c>
      <c r="R32">
        <v>2.1718423666369172E-2</v>
      </c>
      <c r="S32">
        <v>3.4080804374207636E-2</v>
      </c>
      <c r="T32">
        <v>2.1461575635909117E-2</v>
      </c>
      <c r="U32">
        <v>5.6175563142232071E-2</v>
      </c>
      <c r="V32">
        <v>3.5375224247324762E-2</v>
      </c>
      <c r="AC32" s="7"/>
    </row>
    <row r="33" spans="1:29">
      <c r="A33" s="7"/>
      <c r="B33" s="4">
        <v>8.8232372135268414E-3</v>
      </c>
      <c r="C33" s="1" t="s">
        <v>20</v>
      </c>
      <c r="D33" s="4">
        <v>2.5643698243583984E-4</v>
      </c>
      <c r="E33" s="4">
        <v>2.2749388948271735E-3</v>
      </c>
      <c r="F33" s="4">
        <v>2.7797029905224115E-5</v>
      </c>
      <c r="G33" s="4">
        <v>2.4659682036264069E-4</v>
      </c>
      <c r="H33" s="4">
        <v>2.8616671670110666E-5</v>
      </c>
      <c r="I33" s="4">
        <v>2.5386813869221014E-4</v>
      </c>
      <c r="J33" s="4">
        <v>3.101964742550612E-6</v>
      </c>
      <c r="K33" s="4">
        <v>2.7518574646215638E-5</v>
      </c>
      <c r="M33" s="4">
        <v>0.14824015438400001</v>
      </c>
      <c r="N33" s="1" t="s">
        <v>20</v>
      </c>
      <c r="O33">
        <v>1.3065429878228035E-2</v>
      </c>
      <c r="P33">
        <v>8.227643586941516E-3</v>
      </c>
      <c r="Q33">
        <v>2.153581450267248E-2</v>
      </c>
      <c r="R33">
        <v>1.3561666759831564E-2</v>
      </c>
      <c r="S33">
        <v>2.1281126058228426E-2</v>
      </c>
      <c r="T33">
        <v>1.3401282772000431E-2</v>
      </c>
      <c r="U33">
        <v>3.5077788290893454E-2</v>
      </c>
      <c r="V33">
        <v>2.2089402535204094E-2</v>
      </c>
      <c r="AC33" s="7"/>
    </row>
    <row r="34" spans="1:29">
      <c r="A34" s="7"/>
      <c r="X34" t="s">
        <v>86</v>
      </c>
      <c r="AC34" s="7"/>
    </row>
    <row r="35" spans="1:29">
      <c r="A35" s="7"/>
      <c r="C35" s="1" t="s">
        <v>27</v>
      </c>
      <c r="D35" s="4">
        <v>0</v>
      </c>
      <c r="E35" s="4">
        <v>0</v>
      </c>
      <c r="F35" s="4">
        <v>0</v>
      </c>
      <c r="G35" s="4">
        <v>0</v>
      </c>
      <c r="H35" s="4">
        <v>0</v>
      </c>
      <c r="I35" s="4">
        <v>0</v>
      </c>
      <c r="J35" s="4">
        <v>0</v>
      </c>
      <c r="K35" s="4">
        <v>0</v>
      </c>
      <c r="P35" t="s">
        <v>63</v>
      </c>
      <c r="AA35" t="s">
        <v>44</v>
      </c>
      <c r="AC35" s="7"/>
    </row>
    <row r="36" spans="1:29">
      <c r="A36" s="7"/>
      <c r="C36" s="1"/>
      <c r="D36" s="1" t="s">
        <v>13</v>
      </c>
      <c r="E36" s="1" t="s">
        <v>14</v>
      </c>
      <c r="F36" s="1" t="s">
        <v>15</v>
      </c>
      <c r="G36" s="1" t="s">
        <v>16</v>
      </c>
      <c r="H36" s="1" t="s">
        <v>17</v>
      </c>
      <c r="I36" s="1" t="s">
        <v>18</v>
      </c>
      <c r="J36" s="1" t="s">
        <v>19</v>
      </c>
      <c r="K36" s="1" t="s">
        <v>20</v>
      </c>
      <c r="L36" s="1"/>
      <c r="O36" s="1" t="s">
        <v>13</v>
      </c>
      <c r="P36" s="1" t="s">
        <v>14</v>
      </c>
      <c r="Q36" s="1" t="s">
        <v>15</v>
      </c>
      <c r="R36" s="1" t="s">
        <v>16</v>
      </c>
      <c r="S36" s="1" t="s">
        <v>17</v>
      </c>
      <c r="T36" s="1" t="s">
        <v>18</v>
      </c>
      <c r="U36" s="1" t="s">
        <v>19</v>
      </c>
      <c r="V36" s="1" t="s">
        <v>20</v>
      </c>
      <c r="X36" s="1" t="s">
        <v>47</v>
      </c>
      <c r="Y36" s="1" t="s">
        <v>48</v>
      </c>
      <c r="Z36" s="1" t="s">
        <v>66</v>
      </c>
      <c r="AC36" s="7"/>
    </row>
    <row r="37" spans="1:29">
      <c r="A37" s="7"/>
      <c r="B37" s="4">
        <v>7.9065949822377829E-2</v>
      </c>
      <c r="C37" s="1" t="s">
        <v>13</v>
      </c>
      <c r="D37" s="4">
        <v>0</v>
      </c>
      <c r="E37" s="4">
        <v>0</v>
      </c>
      <c r="F37" s="4">
        <v>0</v>
      </c>
      <c r="G37" s="4">
        <v>0</v>
      </c>
      <c r="H37" s="4">
        <v>0</v>
      </c>
      <c r="I37" s="4">
        <v>0</v>
      </c>
      <c r="J37" s="4">
        <v>0</v>
      </c>
      <c r="K37" s="4">
        <v>0</v>
      </c>
      <c r="N37" s="1" t="s">
        <v>13</v>
      </c>
      <c r="O37" s="5">
        <v>77.935071989001131</v>
      </c>
      <c r="P37" s="5">
        <v>49.077757197767333</v>
      </c>
      <c r="Q37" s="5">
        <v>128.46077543949761</v>
      </c>
      <c r="R37" s="5">
        <v>80.895116736997835</v>
      </c>
      <c r="S37" s="5">
        <v>126.94156310301028</v>
      </c>
      <c r="T37" s="5">
        <v>79.938428916237257</v>
      </c>
      <c r="U37" s="5">
        <v>209.23842392826685</v>
      </c>
      <c r="V37" s="5">
        <v>131.76291884922153</v>
      </c>
      <c r="X37">
        <v>884.25005615999976</v>
      </c>
      <c r="Y37">
        <v>77.935071989001131</v>
      </c>
      <c r="Z37">
        <v>806.31498417099863</v>
      </c>
      <c r="AA37">
        <v>38.722773424301749</v>
      </c>
      <c r="AB37">
        <v>331.89857326412573</v>
      </c>
      <c r="AC37" s="7"/>
    </row>
    <row r="38" spans="1:29">
      <c r="A38" s="7"/>
      <c r="B38" s="4">
        <v>8.9125178843163684E-3</v>
      </c>
      <c r="C38" s="1" t="s">
        <v>14</v>
      </c>
      <c r="D38" s="4">
        <v>0</v>
      </c>
      <c r="E38" s="4">
        <v>0</v>
      </c>
      <c r="F38" s="4">
        <v>0</v>
      </c>
      <c r="G38" s="4">
        <v>0</v>
      </c>
      <c r="H38" s="4">
        <v>0</v>
      </c>
      <c r="I38" s="4">
        <v>0</v>
      </c>
      <c r="J38" s="4">
        <v>0</v>
      </c>
      <c r="K38" s="4">
        <v>0</v>
      </c>
      <c r="N38" s="1" t="s">
        <v>14</v>
      </c>
      <c r="O38" s="5">
        <v>48.665109929454246</v>
      </c>
      <c r="P38" s="5">
        <v>30.645695040321261</v>
      </c>
      <c r="Q38" s="5">
        <v>80.214948146430928</v>
      </c>
      <c r="R38" s="5">
        <v>50.513454960529529</v>
      </c>
      <c r="S38" s="5">
        <v>79.266304185830336</v>
      </c>
      <c r="T38" s="5">
        <v>49.916068998378172</v>
      </c>
      <c r="U38" s="5">
        <v>130.65505223850843</v>
      </c>
      <c r="V38" s="5">
        <v>82.276910340547062</v>
      </c>
      <c r="X38">
        <v>552.15354384</v>
      </c>
      <c r="Y38">
        <v>30.645695040321261</v>
      </c>
      <c r="Z38">
        <v>521.50784879967875</v>
      </c>
      <c r="AA38">
        <v>112327.01990942759</v>
      </c>
      <c r="AB38">
        <v>65.976644907868604</v>
      </c>
      <c r="AC38" s="7"/>
    </row>
    <row r="39" spans="1:29">
      <c r="A39" s="7"/>
      <c r="B39" s="4">
        <v>0.72941007204743047</v>
      </c>
      <c r="C39" s="1" t="s">
        <v>15</v>
      </c>
      <c r="D39" s="4">
        <v>0</v>
      </c>
      <c r="E39" s="4">
        <v>0</v>
      </c>
      <c r="F39" s="4">
        <v>0</v>
      </c>
      <c r="G39" s="4">
        <v>0</v>
      </c>
      <c r="H39" s="4">
        <v>0</v>
      </c>
      <c r="I39" s="4">
        <v>0</v>
      </c>
      <c r="J39" s="4">
        <v>0</v>
      </c>
      <c r="K39" s="4">
        <v>0</v>
      </c>
      <c r="N39" s="1" t="s">
        <v>15</v>
      </c>
      <c r="O39" s="5">
        <v>128.13333623152008</v>
      </c>
      <c r="P39" s="5">
        <v>80.6889196868634</v>
      </c>
      <c r="Q39" s="5">
        <v>211.20282963585302</v>
      </c>
      <c r="R39" s="5">
        <v>132.9999566024994</v>
      </c>
      <c r="S39" s="5">
        <v>208.70508709003647</v>
      </c>
      <c r="T39" s="5">
        <v>131.42706266556405</v>
      </c>
      <c r="U39" s="5">
        <v>344.0096562628143</v>
      </c>
      <c r="V39" s="5">
        <v>216.63189566484917</v>
      </c>
      <c r="X39">
        <v>1453.79874384</v>
      </c>
      <c r="Y39">
        <v>211.20282963585302</v>
      </c>
      <c r="Z39">
        <v>1242.595914204147</v>
      </c>
      <c r="AA39">
        <v>143.68475036750405</v>
      </c>
      <c r="AB39">
        <v>408.65492243765607</v>
      </c>
      <c r="AC39" s="7"/>
    </row>
    <row r="40" spans="1:29">
      <c r="A40" s="7"/>
      <c r="B40" s="4">
        <v>8.2220985477661171E-2</v>
      </c>
      <c r="C40" s="1" t="s">
        <v>16</v>
      </c>
      <c r="D40" s="4">
        <v>0</v>
      </c>
      <c r="E40" s="4">
        <v>0</v>
      </c>
      <c r="F40" s="4">
        <v>0</v>
      </c>
      <c r="G40" s="4">
        <v>0</v>
      </c>
      <c r="H40" s="4">
        <v>0</v>
      </c>
      <c r="I40" s="4">
        <v>0</v>
      </c>
      <c r="J40" s="4">
        <v>0</v>
      </c>
      <c r="K40" s="4">
        <v>0</v>
      </c>
      <c r="N40" s="1" t="s">
        <v>16</v>
      </c>
      <c r="O40" s="5">
        <v>80.010484807336482</v>
      </c>
      <c r="P40" s="5">
        <v>50.38469903773602</v>
      </c>
      <c r="Q40" s="5">
        <v>131.88168894090632</v>
      </c>
      <c r="R40" s="5">
        <v>83.049355617285201</v>
      </c>
      <c r="S40" s="5">
        <v>130.32201994381097</v>
      </c>
      <c r="T40" s="5">
        <v>82.067191177132599</v>
      </c>
      <c r="U40" s="5">
        <v>214.81044812772225</v>
      </c>
      <c r="V40" s="5">
        <v>135.27176850807024</v>
      </c>
      <c r="X40">
        <v>907.79765616000009</v>
      </c>
      <c r="Y40">
        <v>83.049355617285201</v>
      </c>
      <c r="Z40">
        <v>824.7483005427149</v>
      </c>
      <c r="AA40">
        <v>40.575001004350881</v>
      </c>
      <c r="AB40">
        <v>332.60120953371398</v>
      </c>
      <c r="AC40" s="7"/>
    </row>
    <row r="41" spans="1:29">
      <c r="A41" s="7"/>
      <c r="B41" s="4">
        <v>8.8232372135268414E-3</v>
      </c>
      <c r="C41" s="1" t="s">
        <v>17</v>
      </c>
      <c r="D41" s="4">
        <v>0</v>
      </c>
      <c r="E41" s="4">
        <v>0</v>
      </c>
      <c r="F41" s="4">
        <v>0</v>
      </c>
      <c r="G41" s="4">
        <v>0</v>
      </c>
      <c r="H41" s="4">
        <v>0</v>
      </c>
      <c r="I41" s="4">
        <v>0</v>
      </c>
      <c r="J41" s="4">
        <v>0</v>
      </c>
      <c r="K41" s="4">
        <v>0</v>
      </c>
      <c r="N41" s="1" t="s">
        <v>17</v>
      </c>
      <c r="O41" s="5">
        <v>127.26522287408767</v>
      </c>
      <c r="P41" s="5">
        <v>80.142245955911804</v>
      </c>
      <c r="Q41" s="5">
        <v>209.77191397466146</v>
      </c>
      <c r="R41" s="5">
        <v>132.09887151207494</v>
      </c>
      <c r="S41" s="5">
        <v>207.29109382961286</v>
      </c>
      <c r="T41" s="5">
        <v>130.5366340543716</v>
      </c>
      <c r="U41" s="5">
        <v>341.67896398186184</v>
      </c>
      <c r="V41" s="5">
        <v>215.16419765741756</v>
      </c>
      <c r="X41">
        <v>1443.9491438399998</v>
      </c>
      <c r="Y41">
        <v>207.29109382961286</v>
      </c>
      <c r="Z41">
        <v>1236.6580500103869</v>
      </c>
      <c r="AA41">
        <v>146.54457568395208</v>
      </c>
      <c r="AB41">
        <v>438.81579280589955</v>
      </c>
      <c r="AC41" s="7"/>
    </row>
    <row r="42" spans="1:29">
      <c r="A42" s="7"/>
      <c r="B42" s="4">
        <v>9.9457806602947039E-4</v>
      </c>
      <c r="C42" s="1" t="s">
        <v>18</v>
      </c>
      <c r="D42" s="4">
        <v>0</v>
      </c>
      <c r="E42" s="4">
        <v>0</v>
      </c>
      <c r="F42" s="4">
        <v>0</v>
      </c>
      <c r="G42" s="4">
        <v>0</v>
      </c>
      <c r="H42" s="4">
        <v>0</v>
      </c>
      <c r="I42" s="4">
        <v>0</v>
      </c>
      <c r="J42" s="4">
        <v>0</v>
      </c>
      <c r="K42" s="4">
        <v>0</v>
      </c>
      <c r="N42" s="1" t="s">
        <v>18</v>
      </c>
      <c r="O42" s="5">
        <v>79.468407525664887</v>
      </c>
      <c r="P42" s="5">
        <v>50.043338767791596</v>
      </c>
      <c r="Q42" s="5">
        <v>130.98818020120186</v>
      </c>
      <c r="R42" s="5">
        <v>82.486689748605613</v>
      </c>
      <c r="S42" s="5">
        <v>129.43907808333853</v>
      </c>
      <c r="T42" s="5">
        <v>81.511179549221012</v>
      </c>
      <c r="U42" s="5">
        <v>213.35509056957068</v>
      </c>
      <c r="V42" s="5">
        <v>134.35529171460581</v>
      </c>
      <c r="X42">
        <v>901.64725615999987</v>
      </c>
      <c r="Y42">
        <v>81.511179549221012</v>
      </c>
      <c r="Z42">
        <v>820.1360766107789</v>
      </c>
      <c r="AA42">
        <v>43.449015348882504</v>
      </c>
      <c r="AB42">
        <v>302.55899953410062</v>
      </c>
      <c r="AC42" s="7"/>
    </row>
    <row r="43" spans="1:29">
      <c r="A43" s="7"/>
      <c r="B43" s="4">
        <v>8.1397341157200459E-2</v>
      </c>
      <c r="C43" s="1" t="s">
        <v>19</v>
      </c>
      <c r="D43" s="4">
        <v>0</v>
      </c>
      <c r="E43" s="4">
        <v>0</v>
      </c>
      <c r="F43" s="4">
        <v>0</v>
      </c>
      <c r="G43" s="4">
        <v>0</v>
      </c>
      <c r="H43" s="4">
        <v>0</v>
      </c>
      <c r="I43" s="4">
        <v>0</v>
      </c>
      <c r="J43" s="4">
        <v>0</v>
      </c>
      <c r="K43" s="4">
        <v>0</v>
      </c>
      <c r="N43" s="1" t="s">
        <v>19</v>
      </c>
      <c r="O43" s="5">
        <v>209.23721730065498</v>
      </c>
      <c r="P43" s="5">
        <v>131.76215900419345</v>
      </c>
      <c r="Q43" s="5">
        <v>344.88676919472368</v>
      </c>
      <c r="R43" s="5">
        <v>217.18423666369173</v>
      </c>
      <c r="S43" s="5">
        <v>340.80804374207634</v>
      </c>
      <c r="T43" s="5">
        <v>214.61575635909116</v>
      </c>
      <c r="U43" s="5">
        <v>561.75563142232068</v>
      </c>
      <c r="V43" s="5">
        <v>353.75224247324763</v>
      </c>
      <c r="X43">
        <v>2374.0020561599995</v>
      </c>
      <c r="Y43">
        <v>561.75563142232068</v>
      </c>
      <c r="Z43">
        <v>1812.2464247376788</v>
      </c>
      <c r="AA43">
        <v>14502.23275008489</v>
      </c>
      <c r="AB43">
        <v>129.39443370962496</v>
      </c>
      <c r="AC43" s="7"/>
    </row>
    <row r="44" spans="1:29">
      <c r="A44" s="7"/>
      <c r="B44" s="4">
        <v>9.175318331457346E-3</v>
      </c>
      <c r="C44" s="1" t="s">
        <v>20</v>
      </c>
      <c r="D44" s="4">
        <v>0</v>
      </c>
      <c r="E44" s="4">
        <v>0</v>
      </c>
      <c r="F44" s="4">
        <v>0</v>
      </c>
      <c r="G44" s="4">
        <v>0</v>
      </c>
      <c r="H44" s="4">
        <v>0</v>
      </c>
      <c r="I44" s="4">
        <v>0</v>
      </c>
      <c r="J44" s="4">
        <v>0</v>
      </c>
      <c r="K44" s="4">
        <v>0</v>
      </c>
      <c r="N44" s="1" t="s">
        <v>20</v>
      </c>
      <c r="O44" s="5">
        <v>130.65429878228036</v>
      </c>
      <c r="P44" s="5">
        <v>82.276435869415167</v>
      </c>
      <c r="Q44" s="5">
        <v>215.3581450267248</v>
      </c>
      <c r="R44" s="5">
        <v>135.61666759831564</v>
      </c>
      <c r="S44" s="5">
        <v>212.81126058228426</v>
      </c>
      <c r="T44" s="5">
        <v>134.01282772000431</v>
      </c>
      <c r="U44" s="5">
        <v>350.77788290893454</v>
      </c>
      <c r="V44" s="5">
        <v>220.89402535204093</v>
      </c>
      <c r="X44">
        <v>1482.4015438400002</v>
      </c>
      <c r="Y44">
        <v>220.89402535204093</v>
      </c>
      <c r="Z44">
        <v>1261.5075184879593</v>
      </c>
      <c r="AA44">
        <v>151.43109668160125</v>
      </c>
      <c r="AB44">
        <v>409.23501965529709</v>
      </c>
      <c r="AC44" s="7"/>
    </row>
    <row r="45" spans="1:29">
      <c r="A45" s="7"/>
      <c r="X45" s="9">
        <v>10000</v>
      </c>
      <c r="Y45" s="9">
        <v>1474.2848824356561</v>
      </c>
      <c r="Z45" s="9">
        <v>8525.715117564343</v>
      </c>
      <c r="AA45" s="9">
        <v>127393.65987202308</v>
      </c>
      <c r="AB45" s="9">
        <v>2419.1355958482868</v>
      </c>
      <c r="AC45" s="7"/>
    </row>
    <row r="46" spans="1:29">
      <c r="A46" s="7"/>
      <c r="C46" s="1" t="s">
        <v>28</v>
      </c>
      <c r="D46" s="4">
        <v>7.1453453273171171E-6</v>
      </c>
      <c r="E46" s="4">
        <v>6.33887665019313E-5</v>
      </c>
      <c r="F46" s="4">
        <v>6.5918222214628237E-5</v>
      </c>
      <c r="G46" s="4">
        <v>5.8478276483166062E-4</v>
      </c>
      <c r="H46" s="4">
        <v>7.9737329327119547E-7</v>
      </c>
      <c r="I46" s="4">
        <v>7.0737672130147268E-6</v>
      </c>
      <c r="J46" s="4">
        <v>7.3560377457076659E-6</v>
      </c>
      <c r="K46" s="4">
        <v>6.5257889952414052E-5</v>
      </c>
      <c r="P46" t="s">
        <v>70</v>
      </c>
      <c r="AB46" s="21">
        <v>129812.79546787137</v>
      </c>
      <c r="AC46" s="7"/>
    </row>
    <row r="47" spans="1:29">
      <c r="A47" s="7"/>
      <c r="C47" s="1"/>
      <c r="D47" s="1" t="s">
        <v>13</v>
      </c>
      <c r="E47" s="1" t="s">
        <v>14</v>
      </c>
      <c r="F47" s="1" t="s">
        <v>15</v>
      </c>
      <c r="G47" s="1" t="s">
        <v>16</v>
      </c>
      <c r="H47" s="1" t="s">
        <v>17</v>
      </c>
      <c r="I47" s="1" t="s">
        <v>18</v>
      </c>
      <c r="J47" s="1" t="s">
        <v>19</v>
      </c>
      <c r="K47" s="1" t="s">
        <v>20</v>
      </c>
      <c r="L47" s="1"/>
      <c r="O47" s="1" t="s">
        <v>13</v>
      </c>
      <c r="P47" s="1" t="s">
        <v>14</v>
      </c>
      <c r="Q47" s="1" t="s">
        <v>15</v>
      </c>
      <c r="R47" s="1" t="s">
        <v>16</v>
      </c>
      <c r="S47" s="1" t="s">
        <v>17</v>
      </c>
      <c r="T47" s="1" t="s">
        <v>18</v>
      </c>
      <c r="U47" s="1" t="s">
        <v>19</v>
      </c>
      <c r="V47" s="1" t="s">
        <v>20</v>
      </c>
      <c r="Z47" t="s">
        <v>68</v>
      </c>
      <c r="AC47" s="7"/>
    </row>
    <row r="48" spans="1:29">
      <c r="A48" s="7"/>
      <c r="B48" s="4">
        <v>8.9125178843163684E-3</v>
      </c>
      <c r="C48" s="1" t="s">
        <v>13</v>
      </c>
      <c r="D48" s="4">
        <v>6.3683018019330206E-8</v>
      </c>
      <c r="E48" s="4">
        <v>5.64953515113217E-7</v>
      </c>
      <c r="F48" s="4">
        <v>5.8749733439021469E-7</v>
      </c>
      <c r="G48" s="4">
        <v>5.2118868500021485E-6</v>
      </c>
      <c r="H48" s="4">
        <v>7.1066037367557703E-9</v>
      </c>
      <c r="I48" s="4">
        <v>6.3045076795484511E-8</v>
      </c>
      <c r="J48" s="4">
        <v>6.5560817966325837E-8</v>
      </c>
      <c r="K48" s="4">
        <v>5.8161211129363971E-7</v>
      </c>
      <c r="N48" s="1" t="s">
        <v>13</v>
      </c>
      <c r="O48">
        <v>38.722773424301749</v>
      </c>
      <c r="P48">
        <v>416.212326193048</v>
      </c>
      <c r="Q48">
        <v>118.65538737387578</v>
      </c>
      <c r="R48">
        <v>42.878172569323993</v>
      </c>
      <c r="S48">
        <v>121.01246186760716</v>
      </c>
      <c r="T48">
        <v>37.756946348633889</v>
      </c>
      <c r="U48">
        <v>148.44301293039652</v>
      </c>
      <c r="V48">
        <v>114.37765932937657</v>
      </c>
      <c r="W48" s="7">
        <v>1038.0587400365637</v>
      </c>
      <c r="Z48" t="s">
        <v>67</v>
      </c>
      <c r="AC48" s="7"/>
    </row>
    <row r="49" spans="1:29">
      <c r="A49" s="7"/>
      <c r="B49" s="4">
        <v>7.9065949822377829E-2</v>
      </c>
      <c r="C49" s="1" t="s">
        <v>14</v>
      </c>
      <c r="D49" s="4">
        <v>5.649535151132171E-7</v>
      </c>
      <c r="E49" s="4">
        <v>5.0118930315441247E-6</v>
      </c>
      <c r="F49" s="4">
        <v>5.2118868500021476E-6</v>
      </c>
      <c r="G49" s="4">
        <v>4.6236404741171455E-5</v>
      </c>
      <c r="H49" s="4">
        <v>6.3045076795484498E-8</v>
      </c>
      <c r="I49" s="4">
        <v>5.5929412351940383E-7</v>
      </c>
      <c r="J49" s="4">
        <v>5.816121112936396E-7</v>
      </c>
      <c r="K49" s="4">
        <v>5.1596770524918239E-6</v>
      </c>
      <c r="N49" s="1" t="s">
        <v>14</v>
      </c>
      <c r="O49">
        <v>452.13582470351258</v>
      </c>
      <c r="P49">
        <v>112327.01990942759</v>
      </c>
      <c r="Q49">
        <v>36.642305087009817</v>
      </c>
      <c r="R49">
        <v>555.33209500672217</v>
      </c>
      <c r="S49">
        <v>30.620435165496776</v>
      </c>
      <c r="T49">
        <v>494.33703162250259</v>
      </c>
      <c r="U49">
        <v>122.77751210305919</v>
      </c>
      <c r="V49">
        <v>39.873209197821872</v>
      </c>
      <c r="W49" s="7">
        <v>114058.73832231371</v>
      </c>
      <c r="Z49" t="s">
        <v>69</v>
      </c>
      <c r="AB49">
        <v>12</v>
      </c>
      <c r="AC49" s="7"/>
    </row>
    <row r="50" spans="1:29">
      <c r="A50" s="7"/>
      <c r="B50" s="4">
        <v>8.2220985477661171E-2</v>
      </c>
      <c r="C50" s="1" t="s">
        <v>15</v>
      </c>
      <c r="D50" s="4">
        <v>5.8749733439021479E-7</v>
      </c>
      <c r="E50" s="4">
        <v>5.2118868500021485E-6</v>
      </c>
      <c r="F50" s="4">
        <v>5.4198611914221899E-6</v>
      </c>
      <c r="G50" s="4">
        <v>4.8081415214810514E-5</v>
      </c>
      <c r="H50" s="4">
        <v>6.5560817966325823E-8</v>
      </c>
      <c r="I50" s="4">
        <v>5.816121112936396E-7</v>
      </c>
      <c r="J50" s="4">
        <v>6.0482067266295738E-7</v>
      </c>
      <c r="K50" s="4">
        <v>5.3655680220802464E-6</v>
      </c>
      <c r="N50" s="1" t="s">
        <v>15</v>
      </c>
      <c r="O50">
        <v>114.51575037479552</v>
      </c>
      <c r="P50">
        <v>34.405247567352298</v>
      </c>
      <c r="Q50">
        <v>143.68475036750405</v>
      </c>
      <c r="R50">
        <v>115.60897935761268</v>
      </c>
      <c r="S50">
        <v>133.1572049784663</v>
      </c>
      <c r="T50">
        <v>110.34772540842624</v>
      </c>
      <c r="U50">
        <v>4.8841892926662611</v>
      </c>
      <c r="V50">
        <v>131.26744862868657</v>
      </c>
      <c r="W50" s="7">
        <v>787.87129597550984</v>
      </c>
      <c r="AC50" s="7"/>
    </row>
    <row r="51" spans="1:29">
      <c r="A51" s="7"/>
      <c r="B51" s="4">
        <v>0.72941007204743047</v>
      </c>
      <c r="C51" s="1" t="s">
        <v>16</v>
      </c>
      <c r="D51" s="4">
        <v>5.2118868500021493E-6</v>
      </c>
      <c r="E51" s="4">
        <v>4.6236404741171455E-5</v>
      </c>
      <c r="F51" s="4">
        <v>4.8081415214810514E-5</v>
      </c>
      <c r="G51" s="4">
        <v>4.2654643862795718E-4</v>
      </c>
      <c r="H51" s="4">
        <v>5.816121112936396E-7</v>
      </c>
      <c r="I51" s="4">
        <v>5.159677052491823E-6</v>
      </c>
      <c r="J51" s="4">
        <v>5.3655680220802464E-6</v>
      </c>
      <c r="K51" s="4">
        <v>4.759976221185362E-5</v>
      </c>
      <c r="N51" s="1" t="s">
        <v>16</v>
      </c>
      <c r="O51">
        <v>39.209541298332574</v>
      </c>
      <c r="P51">
        <v>398.03539268166179</v>
      </c>
      <c r="Q51">
        <v>124.00300980150864</v>
      </c>
      <c r="R51">
        <v>40.575001004350881</v>
      </c>
      <c r="S51">
        <v>116.6980116604919</v>
      </c>
      <c r="T51">
        <v>41.085830315844802</v>
      </c>
      <c r="U51">
        <v>132.66099319404913</v>
      </c>
      <c r="V51">
        <v>127.39004891629189</v>
      </c>
      <c r="W51" s="7">
        <v>1019.6578288725315</v>
      </c>
      <c r="AC51" s="7"/>
    </row>
    <row r="52" spans="1:29">
      <c r="A52" s="7"/>
      <c r="B52" s="4">
        <v>9.9457806602947039E-4</v>
      </c>
      <c r="C52" s="1" t="s">
        <v>17</v>
      </c>
      <c r="D52" s="4">
        <v>7.1066037367557711E-9</v>
      </c>
      <c r="E52" s="4">
        <v>6.3045076795484511E-8</v>
      </c>
      <c r="F52" s="4">
        <v>6.5560817966325823E-8</v>
      </c>
      <c r="G52" s="4">
        <v>5.816121112936396E-7</v>
      </c>
      <c r="H52" s="4">
        <v>7.9304998792521526E-10</v>
      </c>
      <c r="I52" s="4">
        <v>7.0354137142628637E-9</v>
      </c>
      <c r="J52" s="4">
        <v>7.3161537947657154E-9</v>
      </c>
      <c r="K52" s="4">
        <v>6.4904065982035978E-8</v>
      </c>
      <c r="N52" s="1" t="s">
        <v>17</v>
      </c>
      <c r="O52">
        <v>111.76810966872536</v>
      </c>
      <c r="P52">
        <v>45.133371363353589</v>
      </c>
      <c r="Q52">
        <v>143.95005277048017</v>
      </c>
      <c r="R52">
        <v>122.28812369654734</v>
      </c>
      <c r="S52">
        <v>146.54457568395208</v>
      </c>
      <c r="T52">
        <v>118.81241870487059</v>
      </c>
      <c r="U52">
        <v>6.8336736176423072</v>
      </c>
      <c r="V52">
        <v>150.85752402554519</v>
      </c>
      <c r="W52" s="7">
        <v>846.18784953111663</v>
      </c>
      <c r="AC52" s="7"/>
    </row>
    <row r="53" spans="1:29">
      <c r="A53" s="7"/>
      <c r="B53" s="4">
        <v>8.8232372135268414E-3</v>
      </c>
      <c r="C53" s="1" t="s">
        <v>18</v>
      </c>
      <c r="D53" s="4">
        <v>6.3045076795484511E-8</v>
      </c>
      <c r="E53" s="4">
        <v>5.5929412351940394E-7</v>
      </c>
      <c r="F53" s="4">
        <v>5.816121112936396E-7</v>
      </c>
      <c r="G53" s="4">
        <v>5.1596770524918239E-6</v>
      </c>
      <c r="H53" s="4">
        <v>7.0354137142628637E-9</v>
      </c>
      <c r="I53" s="4">
        <v>6.2413526113697583E-8</v>
      </c>
      <c r="J53" s="4">
        <v>6.4904065982035978E-8</v>
      </c>
      <c r="K53" s="4">
        <v>5.7578584310437897E-7</v>
      </c>
      <c r="N53" s="1" t="s">
        <v>18</v>
      </c>
      <c r="O53">
        <v>49.105072824471407</v>
      </c>
      <c r="P53">
        <v>537.17012941819428</v>
      </c>
      <c r="Q53">
        <v>113.60655660642851</v>
      </c>
      <c r="R53">
        <v>38.681951336387144</v>
      </c>
      <c r="S53">
        <v>115.81763454963577</v>
      </c>
      <c r="T53">
        <v>43.449015348882504</v>
      </c>
      <c r="U53">
        <v>149.09669250055697</v>
      </c>
      <c r="V53">
        <v>107.81411032531106</v>
      </c>
      <c r="W53" s="7">
        <v>1154.7411629098676</v>
      </c>
      <c r="AC53" s="7"/>
    </row>
    <row r="54" spans="1:29">
      <c r="A54" s="7"/>
      <c r="B54" s="4">
        <v>9.175318331457346E-3</v>
      </c>
      <c r="C54" s="1" t="s">
        <v>19</v>
      </c>
      <c r="D54" s="4">
        <v>6.5560817966325837E-8</v>
      </c>
      <c r="E54" s="4">
        <v>5.816121112936396E-7</v>
      </c>
      <c r="F54" s="4">
        <v>6.0482067266295727E-7</v>
      </c>
      <c r="G54" s="4">
        <v>5.3655680220802455E-6</v>
      </c>
      <c r="H54" s="4">
        <v>7.3161537947657146E-9</v>
      </c>
      <c r="I54" s="4">
        <v>6.4904065982035964E-8</v>
      </c>
      <c r="J54" s="4">
        <v>6.7493987975083723E-8</v>
      </c>
      <c r="K54" s="4">
        <v>5.9876191395261084E-7</v>
      </c>
      <c r="N54" s="1" t="s">
        <v>19</v>
      </c>
      <c r="O54">
        <v>125.79461253128389</v>
      </c>
      <c r="P54">
        <v>112.52110224522532</v>
      </c>
      <c r="Q54">
        <v>7.2816243650245411</v>
      </c>
      <c r="R54">
        <v>131.7927413848135</v>
      </c>
      <c r="S54">
        <v>3.6339335529207459</v>
      </c>
      <c r="T54">
        <v>135.63652926432334</v>
      </c>
      <c r="U54">
        <v>14502.23275008489</v>
      </c>
      <c r="V54">
        <v>8.3188707896427463</v>
      </c>
      <c r="W54" s="7">
        <v>15027.212164218123</v>
      </c>
      <c r="AC54" s="7"/>
    </row>
    <row r="55" spans="1:29">
      <c r="A55" s="7"/>
      <c r="B55" s="4">
        <v>8.1397341157200459E-2</v>
      </c>
      <c r="C55" s="1" t="s">
        <v>20</v>
      </c>
      <c r="D55" s="4">
        <v>5.816121112936396E-7</v>
      </c>
      <c r="E55" s="4">
        <v>5.1596770524918222E-6</v>
      </c>
      <c r="F55" s="4">
        <v>5.3655680220802447E-6</v>
      </c>
      <c r="G55" s="4">
        <v>4.7599762211853607E-5</v>
      </c>
      <c r="H55" s="4">
        <v>6.4904065982035951E-8</v>
      </c>
      <c r="I55" s="4">
        <v>5.7578584310437876E-7</v>
      </c>
      <c r="J55" s="4">
        <v>5.9876191395261063E-7</v>
      </c>
      <c r="K55" s="4">
        <v>5.3118187316556907E-6</v>
      </c>
      <c r="N55" s="1" t="s">
        <v>20</v>
      </c>
      <c r="O55">
        <v>122.77675935303175</v>
      </c>
      <c r="P55">
        <v>38.492640094315128</v>
      </c>
      <c r="Q55">
        <v>161.26326781600045</v>
      </c>
      <c r="R55">
        <v>107.27575570293143</v>
      </c>
      <c r="S55">
        <v>146.90116389122545</v>
      </c>
      <c r="T55">
        <v>118.49039394324464</v>
      </c>
      <c r="U55">
        <v>15.704874605534931</v>
      </c>
      <c r="V55">
        <v>151.43109668160125</v>
      </c>
      <c r="W55" s="7">
        <v>862.33595208788495</v>
      </c>
      <c r="AC55" s="7"/>
    </row>
    <row r="56" spans="1:29">
      <c r="A56" s="7"/>
      <c r="O56" s="7">
        <v>1054.0284441784549</v>
      </c>
      <c r="P56" s="7">
        <v>113908.99011899075</v>
      </c>
      <c r="Q56" s="7">
        <v>849.08695418783191</v>
      </c>
      <c r="R56" s="7">
        <v>1154.4328200586892</v>
      </c>
      <c r="S56" s="7">
        <v>814.38542134979616</v>
      </c>
      <c r="T56" s="7">
        <v>1099.9158909567288</v>
      </c>
      <c r="U56" s="7">
        <v>15082.633698328795</v>
      </c>
      <c r="V56" s="7">
        <v>831.32996789427727</v>
      </c>
      <c r="W56" s="21">
        <v>134794.80331594535</v>
      </c>
      <c r="X56" t="s">
        <v>64</v>
      </c>
      <c r="AC56" s="7"/>
    </row>
    <row r="57" spans="1:29">
      <c r="A57" s="7"/>
      <c r="C57" s="1" t="s">
        <v>29</v>
      </c>
      <c r="D57" s="4">
        <v>0</v>
      </c>
      <c r="E57" s="4">
        <v>0</v>
      </c>
      <c r="F57" s="4">
        <v>0</v>
      </c>
      <c r="G57" s="4">
        <v>0</v>
      </c>
      <c r="H57" s="4">
        <v>0</v>
      </c>
      <c r="I57" s="4">
        <v>0</v>
      </c>
      <c r="J57" s="4">
        <v>0</v>
      </c>
      <c r="K57" s="4">
        <v>0</v>
      </c>
      <c r="X57">
        <v>1</v>
      </c>
      <c r="AC57" s="7"/>
    </row>
    <row r="58" spans="1:29">
      <c r="A58" s="7"/>
      <c r="C58" s="1"/>
      <c r="D58" s="1" t="s">
        <v>13</v>
      </c>
      <c r="E58" s="1" t="s">
        <v>14</v>
      </c>
      <c r="F58" s="1" t="s">
        <v>15</v>
      </c>
      <c r="G58" s="1" t="s">
        <v>16</v>
      </c>
      <c r="H58" s="1" t="s">
        <v>17</v>
      </c>
      <c r="I58" s="1" t="s">
        <v>18</v>
      </c>
      <c r="J58" s="1" t="s">
        <v>19</v>
      </c>
      <c r="K58" s="1" t="s">
        <v>20</v>
      </c>
      <c r="L58" s="1"/>
      <c r="X58">
        <v>0</v>
      </c>
      <c r="Y58" t="s">
        <v>65</v>
      </c>
      <c r="AC58" s="7"/>
    </row>
    <row r="59" spans="1:29">
      <c r="A59" s="7"/>
      <c r="B59" s="4">
        <v>8.1397341157200459E-2</v>
      </c>
      <c r="C59" s="1" t="s">
        <v>13</v>
      </c>
      <c r="D59" s="4">
        <v>0</v>
      </c>
      <c r="E59" s="4">
        <v>0</v>
      </c>
      <c r="F59" s="4">
        <v>0</v>
      </c>
      <c r="G59" s="4">
        <v>0</v>
      </c>
      <c r="H59" s="4">
        <v>0</v>
      </c>
      <c r="I59" s="4">
        <v>0</v>
      </c>
      <c r="J59" s="4">
        <v>0</v>
      </c>
      <c r="K59" s="4">
        <v>0</v>
      </c>
      <c r="AC59" s="7"/>
    </row>
    <row r="60" spans="1:29">
      <c r="A60" s="7"/>
      <c r="B60" s="4">
        <v>9.175318331457346E-3</v>
      </c>
      <c r="C60" s="1" t="s">
        <v>14</v>
      </c>
      <c r="D60" s="4">
        <v>0</v>
      </c>
      <c r="E60" s="4">
        <v>0</v>
      </c>
      <c r="F60" s="4">
        <v>0</v>
      </c>
      <c r="G60" s="4">
        <v>0</v>
      </c>
      <c r="H60" s="4">
        <v>0</v>
      </c>
      <c r="I60" s="4">
        <v>0</v>
      </c>
      <c r="J60" s="4">
        <v>0</v>
      </c>
      <c r="K60" s="4">
        <v>0</v>
      </c>
      <c r="O60" s="22"/>
      <c r="P60" s="22"/>
      <c r="Q60" s="22"/>
      <c r="R60" s="22"/>
      <c r="S60" s="22"/>
      <c r="T60" s="22"/>
      <c r="U60" s="22"/>
      <c r="V60" s="22"/>
      <c r="AC60" s="7"/>
    </row>
    <row r="61" spans="1:29">
      <c r="A61" s="7"/>
      <c r="B61" s="4">
        <v>8.8232372135268414E-3</v>
      </c>
      <c r="C61" s="1" t="s">
        <v>15</v>
      </c>
      <c r="D61" s="4">
        <v>0</v>
      </c>
      <c r="E61" s="4">
        <v>0</v>
      </c>
      <c r="F61" s="4">
        <v>0</v>
      </c>
      <c r="G61" s="4">
        <v>0</v>
      </c>
      <c r="H61" s="4">
        <v>0</v>
      </c>
      <c r="I61" s="4">
        <v>0</v>
      </c>
      <c r="J61" s="4">
        <v>0</v>
      </c>
      <c r="K61" s="4">
        <v>0</v>
      </c>
      <c r="O61" s="22"/>
      <c r="P61" s="22"/>
      <c r="Q61" s="22"/>
      <c r="R61" s="22"/>
      <c r="S61" s="22"/>
      <c r="T61" s="22"/>
      <c r="U61" s="22"/>
      <c r="V61" s="22"/>
      <c r="AC61" s="7"/>
    </row>
    <row r="62" spans="1:29">
      <c r="A62" s="7"/>
      <c r="B62" s="4">
        <v>9.9457806602947039E-4</v>
      </c>
      <c r="C62" s="1" t="s">
        <v>16</v>
      </c>
      <c r="D62" s="4">
        <v>0</v>
      </c>
      <c r="E62" s="4">
        <v>0</v>
      </c>
      <c r="F62" s="4">
        <v>0</v>
      </c>
      <c r="G62" s="4">
        <v>0</v>
      </c>
      <c r="H62" s="4">
        <v>0</v>
      </c>
      <c r="I62" s="4">
        <v>0</v>
      </c>
      <c r="J62" s="4">
        <v>0</v>
      </c>
      <c r="K62" s="4">
        <v>0</v>
      </c>
      <c r="O62" s="22"/>
      <c r="P62" s="22"/>
      <c r="Q62" s="22"/>
      <c r="R62" s="22"/>
      <c r="S62" s="22"/>
      <c r="T62" s="22"/>
      <c r="U62" s="22"/>
      <c r="V62" s="22"/>
      <c r="AC62" s="7"/>
    </row>
    <row r="63" spans="1:29">
      <c r="A63" s="7"/>
      <c r="B63" s="4">
        <v>0.72941007204743047</v>
      </c>
      <c r="C63" s="1" t="s">
        <v>17</v>
      </c>
      <c r="D63" s="4">
        <v>0</v>
      </c>
      <c r="E63" s="4">
        <v>0</v>
      </c>
      <c r="F63" s="4">
        <v>0</v>
      </c>
      <c r="G63" s="4">
        <v>0</v>
      </c>
      <c r="H63" s="4">
        <v>0</v>
      </c>
      <c r="I63" s="4">
        <v>0</v>
      </c>
      <c r="J63" s="4">
        <v>0</v>
      </c>
      <c r="K63" s="4">
        <v>0</v>
      </c>
      <c r="O63" s="22"/>
      <c r="P63" s="22"/>
      <c r="Q63" s="22"/>
      <c r="R63" s="22"/>
      <c r="S63" s="22"/>
      <c r="T63" s="22"/>
      <c r="U63" s="22"/>
      <c r="V63" s="22"/>
      <c r="AC63" s="7"/>
    </row>
    <row r="64" spans="1:29">
      <c r="A64" s="7"/>
      <c r="B64" s="4">
        <v>8.2220985477661171E-2</v>
      </c>
      <c r="C64" s="1" t="s">
        <v>18</v>
      </c>
      <c r="D64" s="4">
        <v>0</v>
      </c>
      <c r="E64" s="4">
        <v>0</v>
      </c>
      <c r="F64" s="4">
        <v>0</v>
      </c>
      <c r="G64" s="4">
        <v>0</v>
      </c>
      <c r="H64" s="4">
        <v>0</v>
      </c>
      <c r="I64" s="4">
        <v>0</v>
      </c>
      <c r="J64" s="4">
        <v>0</v>
      </c>
      <c r="K64" s="4">
        <v>0</v>
      </c>
      <c r="O64" s="22"/>
      <c r="P64" s="22"/>
      <c r="Q64" s="22"/>
      <c r="R64" s="22"/>
      <c r="S64" s="22"/>
      <c r="T64" s="22"/>
      <c r="U64" s="22"/>
      <c r="V64" s="22"/>
      <c r="AC64" s="7"/>
    </row>
    <row r="65" spans="1:29">
      <c r="A65" s="7"/>
      <c r="B65" s="4">
        <v>7.9065949822377829E-2</v>
      </c>
      <c r="C65" s="1" t="s">
        <v>19</v>
      </c>
      <c r="D65" s="4">
        <v>0</v>
      </c>
      <c r="E65" s="4">
        <v>0</v>
      </c>
      <c r="F65" s="4">
        <v>0</v>
      </c>
      <c r="G65" s="4">
        <v>0</v>
      </c>
      <c r="H65" s="4">
        <v>0</v>
      </c>
      <c r="I65" s="4">
        <v>0</v>
      </c>
      <c r="J65" s="4">
        <v>0</v>
      </c>
      <c r="K65" s="4">
        <v>0</v>
      </c>
      <c r="O65" s="22"/>
      <c r="P65" s="22"/>
      <c r="Q65" s="22"/>
      <c r="R65" s="22"/>
      <c r="S65" s="22"/>
      <c r="T65" s="22"/>
      <c r="U65" s="22"/>
      <c r="V65" s="22"/>
      <c r="AC65" s="7"/>
    </row>
    <row r="66" spans="1:29">
      <c r="A66" s="7"/>
      <c r="B66" s="4">
        <v>8.9125178843163684E-3</v>
      </c>
      <c r="C66" s="1" t="s">
        <v>20</v>
      </c>
      <c r="D66" s="4">
        <v>0</v>
      </c>
      <c r="E66" s="4">
        <v>0</v>
      </c>
      <c r="F66" s="4">
        <v>0</v>
      </c>
      <c r="G66" s="4">
        <v>0</v>
      </c>
      <c r="H66" s="4">
        <v>0</v>
      </c>
      <c r="I66" s="4">
        <v>0</v>
      </c>
      <c r="J66" s="4">
        <v>0</v>
      </c>
      <c r="K66" s="4">
        <v>0</v>
      </c>
      <c r="O66" s="22"/>
      <c r="P66" s="22"/>
      <c r="Q66" s="22"/>
      <c r="R66" s="22"/>
      <c r="S66" s="22"/>
      <c r="T66" s="22"/>
      <c r="U66" s="22"/>
      <c r="V66" s="22"/>
      <c r="AC66" s="7"/>
    </row>
    <row r="67" spans="1:29">
      <c r="A67" s="7"/>
      <c r="O67" s="22"/>
      <c r="P67" s="22"/>
      <c r="Q67" s="22"/>
      <c r="R67" s="22"/>
      <c r="S67" s="22"/>
      <c r="T67" s="22"/>
      <c r="U67" s="22"/>
      <c r="V67" s="22"/>
      <c r="AC67" s="7"/>
    </row>
    <row r="68" spans="1:29">
      <c r="A68" s="7"/>
      <c r="C68" s="1" t="s">
        <v>30</v>
      </c>
      <c r="D68" s="4">
        <v>1.8206471605213398E-6</v>
      </c>
      <c r="E68" s="4">
        <v>1.6151574550144835E-5</v>
      </c>
      <c r="F68" s="4">
        <v>1.9735290552537696E-7</v>
      </c>
      <c r="G68" s="4">
        <v>1.750784136212347E-6</v>
      </c>
      <c r="H68" s="4">
        <v>1.6315009282233103E-5</v>
      </c>
      <c r="I68" s="4">
        <v>1.44735945779212E-4</v>
      </c>
      <c r="J68" s="4">
        <v>1.7684999901904158E-6</v>
      </c>
      <c r="K68" s="4">
        <v>1.5688959427652982E-5</v>
      </c>
      <c r="O68" s="5"/>
      <c r="P68" s="5"/>
      <c r="Q68" s="5"/>
      <c r="R68" s="5"/>
      <c r="S68" s="5"/>
      <c r="T68" s="5"/>
      <c r="U68" s="5"/>
      <c r="V68" s="5"/>
      <c r="AC68" s="7"/>
    </row>
    <row r="69" spans="1:29">
      <c r="A69" s="7"/>
      <c r="C69" s="1"/>
      <c r="D69" s="1" t="s">
        <v>13</v>
      </c>
      <c r="E69" s="1" t="s">
        <v>14</v>
      </c>
      <c r="F69" s="1" t="s">
        <v>15</v>
      </c>
      <c r="G69" s="1" t="s">
        <v>16</v>
      </c>
      <c r="H69" s="1" t="s">
        <v>17</v>
      </c>
      <c r="I69" s="1" t="s">
        <v>18</v>
      </c>
      <c r="J69" s="1" t="s">
        <v>19</v>
      </c>
      <c r="K69" s="1" t="s">
        <v>20</v>
      </c>
      <c r="L69" s="1"/>
      <c r="AC69" s="7"/>
    </row>
    <row r="70" spans="1:29">
      <c r="A70" s="7"/>
      <c r="B70" s="4">
        <v>9.175318331457346E-3</v>
      </c>
      <c r="C70" s="1" t="s">
        <v>13</v>
      </c>
      <c r="D70" s="4">
        <v>1.6705017267047216E-8</v>
      </c>
      <c r="E70" s="4">
        <v>1.4819583805184385E-7</v>
      </c>
      <c r="F70" s="4">
        <v>1.8107757318333609E-9</v>
      </c>
      <c r="G70" s="4">
        <v>1.6064001779413861E-8</v>
      </c>
      <c r="H70" s="4">
        <v>1.4969540374517014E-7</v>
      </c>
      <c r="I70" s="4">
        <v>1.3279983765288203E-6</v>
      </c>
      <c r="J70" s="4">
        <v>1.622655037917626E-8</v>
      </c>
      <c r="K70" s="4">
        <v>1.4395119703803497E-7</v>
      </c>
      <c r="AC70" s="7"/>
    </row>
    <row r="71" spans="1:29">
      <c r="A71" s="7"/>
      <c r="B71" s="4">
        <v>8.1397341157200459E-2</v>
      </c>
      <c r="C71" s="1" t="s">
        <v>14</v>
      </c>
      <c r="D71" s="4">
        <v>1.481958380518438E-7</v>
      </c>
      <c r="E71" s="4">
        <v>1.3146952238840957E-6</v>
      </c>
      <c r="F71" s="4">
        <v>1.6064001779413858E-8</v>
      </c>
      <c r="G71" s="4">
        <v>1.4250917362789093E-7</v>
      </c>
      <c r="H71" s="4">
        <v>1.3279983765288201E-6</v>
      </c>
      <c r="I71" s="4">
        <v>1.1781121156300586E-5</v>
      </c>
      <c r="J71" s="4">
        <v>1.4395119703803495E-7</v>
      </c>
      <c r="K71" s="4">
        <v>1.2770395829341463E-6</v>
      </c>
      <c r="AC71" s="7"/>
    </row>
    <row r="72" spans="1:29">
      <c r="A72" s="7"/>
      <c r="B72" s="4">
        <v>9.9457806602947039E-4</v>
      </c>
      <c r="C72" s="1" t="s">
        <v>15</v>
      </c>
      <c r="D72" s="4">
        <v>1.8107757318333609E-9</v>
      </c>
      <c r="E72" s="4">
        <v>1.6064001779413861E-8</v>
      </c>
      <c r="F72" s="4">
        <v>1.9628287110272619E-10</v>
      </c>
      <c r="G72" s="4">
        <v>1.741291500229153E-9</v>
      </c>
      <c r="H72" s="4">
        <v>1.6226550379176257E-8</v>
      </c>
      <c r="I72" s="4">
        <v>1.4395119703803497E-7</v>
      </c>
      <c r="J72" s="4">
        <v>1.7589113000167211E-9</v>
      </c>
      <c r="K72" s="4">
        <v>1.5603894925569929E-8</v>
      </c>
      <c r="AC72" s="7"/>
    </row>
    <row r="73" spans="1:29">
      <c r="A73" s="7"/>
      <c r="B73" s="4">
        <v>8.8232372135268414E-3</v>
      </c>
      <c r="C73" s="1" t="s">
        <v>16</v>
      </c>
      <c r="D73" s="4">
        <v>1.6064001779413861E-8</v>
      </c>
      <c r="E73" s="4">
        <v>1.4250917362789095E-7</v>
      </c>
      <c r="F73" s="4">
        <v>1.741291500229153E-9</v>
      </c>
      <c r="G73" s="4">
        <v>1.5447583743481227E-8</v>
      </c>
      <c r="H73" s="4">
        <v>1.4395119703803495E-7</v>
      </c>
      <c r="I73" s="4">
        <v>1.2770395829341465E-6</v>
      </c>
      <c r="J73" s="4">
        <v>1.5603894925569929E-8</v>
      </c>
      <c r="K73" s="4">
        <v>1.3842741066358057E-7</v>
      </c>
      <c r="AC73" s="7"/>
    </row>
    <row r="74" spans="1:29">
      <c r="A74" s="7"/>
      <c r="B74" s="4">
        <v>8.2220985477661171E-2</v>
      </c>
      <c r="C74" s="1" t="s">
        <v>17</v>
      </c>
      <c r="D74" s="4">
        <v>1.4969540374517014E-7</v>
      </c>
      <c r="E74" s="4">
        <v>1.3279983765288203E-6</v>
      </c>
      <c r="F74" s="4">
        <v>1.6226550379176257E-8</v>
      </c>
      <c r="G74" s="4">
        <v>1.4395119703803495E-7</v>
      </c>
      <c r="H74" s="4">
        <v>1.341436141262395E-6</v>
      </c>
      <c r="I74" s="4">
        <v>1.1900332096008145E-5</v>
      </c>
      <c r="J74" s="4">
        <v>1.4540781201069009E-7</v>
      </c>
      <c r="K74" s="4">
        <v>1.2899617052606712E-6</v>
      </c>
      <c r="AC74" s="7"/>
    </row>
    <row r="75" spans="1:29">
      <c r="A75" s="7"/>
      <c r="B75" s="4">
        <v>0.72941007204743047</v>
      </c>
      <c r="C75" s="1" t="s">
        <v>18</v>
      </c>
      <c r="D75" s="4">
        <v>1.3279983765288201E-6</v>
      </c>
      <c r="E75" s="4">
        <v>1.1781121156300588E-5</v>
      </c>
      <c r="F75" s="4">
        <v>1.4395119703803495E-7</v>
      </c>
      <c r="G75" s="4">
        <v>1.2770395829341463E-6</v>
      </c>
      <c r="H75" s="4">
        <v>1.1900332096008145E-5</v>
      </c>
      <c r="I75" s="4">
        <v>1.0557185663866801E-4</v>
      </c>
      <c r="J75" s="4">
        <v>1.2899617052606712E-6</v>
      </c>
      <c r="K75" s="4">
        <v>1.1443685026473575E-5</v>
      </c>
      <c r="AC75" s="7"/>
    </row>
    <row r="76" spans="1:29">
      <c r="A76" s="7"/>
      <c r="B76" s="4">
        <v>8.9125178843163684E-3</v>
      </c>
      <c r="C76" s="1" t="s">
        <v>19</v>
      </c>
      <c r="D76" s="4">
        <v>1.6226550379176257E-8</v>
      </c>
      <c r="E76" s="4">
        <v>1.4395119703803495E-7</v>
      </c>
      <c r="F76" s="4">
        <v>1.7589113000167207E-9</v>
      </c>
      <c r="G76" s="4">
        <v>1.5603894925569926E-8</v>
      </c>
      <c r="H76" s="4">
        <v>1.4540781201069009E-7</v>
      </c>
      <c r="I76" s="4">
        <v>1.2899617052606712E-6</v>
      </c>
      <c r="J76" s="4">
        <v>1.5761787790985403E-8</v>
      </c>
      <c r="K76" s="4">
        <v>1.398281314852711E-7</v>
      </c>
      <c r="AC76" s="7"/>
    </row>
    <row r="77" spans="1:29">
      <c r="A77" s="7"/>
      <c r="B77" s="4">
        <v>7.9065949822377829E-2</v>
      </c>
      <c r="C77" s="1" t="s">
        <v>20</v>
      </c>
      <c r="D77" s="4">
        <v>1.4395119703803492E-7</v>
      </c>
      <c r="E77" s="4">
        <v>1.2770395829341463E-6</v>
      </c>
      <c r="F77" s="4">
        <v>1.5603894925569926E-8</v>
      </c>
      <c r="G77" s="4">
        <v>1.3842741066358054E-7</v>
      </c>
      <c r="H77" s="4">
        <v>1.289961705260671E-6</v>
      </c>
      <c r="I77" s="4">
        <v>1.1443685026473573E-5</v>
      </c>
      <c r="J77" s="4">
        <v>1.398281314852711E-7</v>
      </c>
      <c r="K77" s="4">
        <v>1.2404624788721323E-6</v>
      </c>
      <c r="AC77" s="7"/>
    </row>
    <row r="78" spans="1:29">
      <c r="A78" s="7"/>
      <c r="AC78" s="7"/>
    </row>
    <row r="79" spans="1:29">
      <c r="A79" s="7"/>
      <c r="C79" s="1" t="s">
        <v>31</v>
      </c>
      <c r="D79" s="4">
        <v>5.6855330192510534E-3</v>
      </c>
      <c r="E79" s="4">
        <v>6.4088795277590616E-4</v>
      </c>
      <c r="F79" s="4">
        <v>5.2450960982779682E-2</v>
      </c>
      <c r="G79" s="4">
        <v>5.9124076654840504E-3</v>
      </c>
      <c r="H79" s="4">
        <v>5.0948654959021372E-2</v>
      </c>
      <c r="I79" s="4">
        <v>5.7430638539628914E-3</v>
      </c>
      <c r="J79" s="4">
        <v>0.47001853728267556</v>
      </c>
      <c r="K79" s="4">
        <v>5.2981702349782563E-2</v>
      </c>
      <c r="AC79" s="7"/>
    </row>
    <row r="80" spans="1:29">
      <c r="A80" s="7"/>
      <c r="C80" s="1"/>
      <c r="D80" s="1" t="s">
        <v>13</v>
      </c>
      <c r="E80" s="1" t="s">
        <v>14</v>
      </c>
      <c r="F80" s="1" t="s">
        <v>15</v>
      </c>
      <c r="G80" s="1" t="s">
        <v>16</v>
      </c>
      <c r="H80" s="1" t="s">
        <v>17</v>
      </c>
      <c r="I80" s="1" t="s">
        <v>18</v>
      </c>
      <c r="J80" s="1" t="s">
        <v>19</v>
      </c>
      <c r="K80" s="1" t="s">
        <v>20</v>
      </c>
      <c r="L80" s="1"/>
      <c r="AC80" s="7"/>
    </row>
    <row r="81" spans="1:29">
      <c r="A81" s="7"/>
      <c r="B81" s="4">
        <v>8.8232372135268414E-3</v>
      </c>
      <c r="C81" s="1" t="s">
        <v>13</v>
      </c>
      <c r="D81" s="4">
        <v>5.0164806514191514E-5</v>
      </c>
      <c r="E81" s="4">
        <v>5.6547064346334084E-6</v>
      </c>
      <c r="F81" s="4">
        <v>4.6278727082850609E-4</v>
      </c>
      <c r="G81" s="4">
        <v>5.2166575335640229E-5</v>
      </c>
      <c r="H81" s="4">
        <v>4.4953206841357623E-4</v>
      </c>
      <c r="I81" s="4">
        <v>5.0672414715946262E-5</v>
      </c>
      <c r="J81" s="4">
        <v>4.1470850491999557E-3</v>
      </c>
      <c r="K81" s="4">
        <v>4.6747012780860403E-4</v>
      </c>
      <c r="AC81" s="7"/>
    </row>
    <row r="82" spans="1:29">
      <c r="A82" s="7"/>
      <c r="B82" s="4">
        <v>9.9457806602947039E-4</v>
      </c>
      <c r="C82" s="1" t="s">
        <v>14</v>
      </c>
      <c r="D82" s="4">
        <v>5.6547064346334084E-6</v>
      </c>
      <c r="E82" s="4">
        <v>6.3741310061344732E-7</v>
      </c>
      <c r="F82" s="4">
        <v>5.2166575335640229E-5</v>
      </c>
      <c r="G82" s="4">
        <v>5.8803509815149431E-6</v>
      </c>
      <c r="H82" s="4">
        <v>5.0672414715946262E-5</v>
      </c>
      <c r="I82" s="4">
        <v>5.7119253409581691E-6</v>
      </c>
      <c r="J82" s="4">
        <v>4.6747012780860397E-4</v>
      </c>
      <c r="K82" s="4">
        <v>5.2694439057995785E-5</v>
      </c>
      <c r="AC82" s="7"/>
    </row>
    <row r="83" spans="1:29">
      <c r="A83" s="7"/>
      <c r="B83" s="4">
        <v>8.1397341157200459E-2</v>
      </c>
      <c r="C83" s="1" t="s">
        <v>15</v>
      </c>
      <c r="D83" s="4">
        <v>4.6278727082850598E-4</v>
      </c>
      <c r="E83" s="4">
        <v>5.2166575335640208E-5</v>
      </c>
      <c r="F83" s="4">
        <v>4.2693687651383276E-3</v>
      </c>
      <c r="G83" s="4">
        <v>4.8125426380785238E-4</v>
      </c>
      <c r="H83" s="4">
        <v>4.1470850491999557E-3</v>
      </c>
      <c r="I83" s="4">
        <v>4.6747012780860392E-4</v>
      </c>
      <c r="J83" s="4">
        <v>3.8258259229406288E-2</v>
      </c>
      <c r="K83" s="4">
        <v>4.3125697012545003E-3</v>
      </c>
      <c r="AC83" s="7"/>
    </row>
    <row r="84" spans="1:29">
      <c r="A84" s="7"/>
      <c r="B84" s="4">
        <v>9.175318331457346E-3</v>
      </c>
      <c r="C84" s="1" t="s">
        <v>16</v>
      </c>
      <c r="D84" s="4">
        <v>5.2166575335640222E-5</v>
      </c>
      <c r="E84" s="4">
        <v>5.8803509815149414E-6</v>
      </c>
      <c r="F84" s="4">
        <v>4.8125426380785243E-4</v>
      </c>
      <c r="G84" s="4">
        <v>5.4248222436164743E-5</v>
      </c>
      <c r="H84" s="4">
        <v>4.6747012780860403E-4</v>
      </c>
      <c r="I84" s="4">
        <v>5.2694439057995792E-5</v>
      </c>
      <c r="J84" s="4">
        <v>4.3125697012545011E-3</v>
      </c>
      <c r="K84" s="4">
        <v>4.8612398480177667E-4</v>
      </c>
      <c r="AC84" s="7"/>
    </row>
    <row r="85" spans="1:29">
      <c r="A85" s="7"/>
      <c r="B85" s="4">
        <v>7.9065949822377829E-2</v>
      </c>
      <c r="C85" s="1" t="s">
        <v>17</v>
      </c>
      <c r="D85" s="4">
        <v>4.4953206841357612E-4</v>
      </c>
      <c r="E85" s="4">
        <v>5.0672414715946248E-5</v>
      </c>
      <c r="F85" s="4">
        <v>4.1470850491999557E-3</v>
      </c>
      <c r="G85" s="4">
        <v>4.6747012780860397E-4</v>
      </c>
      <c r="H85" s="4">
        <v>4.0283037965076251E-3</v>
      </c>
      <c r="I85" s="4">
        <v>4.5408079850414181E-4</v>
      </c>
      <c r="J85" s="4">
        <v>3.7162462084379448E-2</v>
      </c>
      <c r="K85" s="4">
        <v>4.1890486194920652E-3</v>
      </c>
      <c r="AC85" s="7"/>
    </row>
    <row r="86" spans="1:29">
      <c r="A86" s="7"/>
      <c r="B86" s="4">
        <v>8.9125178843163684E-3</v>
      </c>
      <c r="C86" s="1" t="s">
        <v>18</v>
      </c>
      <c r="D86" s="4">
        <v>5.0672414715946255E-5</v>
      </c>
      <c r="E86" s="4">
        <v>5.7119253409581682E-6</v>
      </c>
      <c r="F86" s="4">
        <v>4.6747012780860397E-4</v>
      </c>
      <c r="G86" s="4">
        <v>5.2694439057995785E-5</v>
      </c>
      <c r="H86" s="4">
        <v>4.5408079850414181E-4</v>
      </c>
      <c r="I86" s="4">
        <v>5.1185159309215158E-5</v>
      </c>
      <c r="J86" s="4">
        <v>4.1890486194920661E-3</v>
      </c>
      <c r="K86" s="4">
        <v>4.7220036973396365E-4</v>
      </c>
      <c r="AC86" s="7"/>
    </row>
    <row r="87" spans="1:29">
      <c r="A87" s="7"/>
      <c r="B87" s="4">
        <v>0.72941007204743047</v>
      </c>
      <c r="C87" s="1" t="s">
        <v>19</v>
      </c>
      <c r="D87" s="4">
        <v>4.1470850491999557E-3</v>
      </c>
      <c r="E87" s="4">
        <v>4.6747012780860392E-4</v>
      </c>
      <c r="F87" s="4">
        <v>3.8258259229406295E-2</v>
      </c>
      <c r="G87" s="4">
        <v>4.3125697012545011E-3</v>
      </c>
      <c r="H87" s="4">
        <v>3.7162462084379455E-2</v>
      </c>
      <c r="I87" s="4">
        <v>4.1890486194920661E-3</v>
      </c>
      <c r="J87" s="4">
        <v>0.34283625514298427</v>
      </c>
      <c r="K87" s="4">
        <v>3.8645387328150413E-2</v>
      </c>
      <c r="AC87" s="7"/>
    </row>
    <row r="88" spans="1:29">
      <c r="A88" s="7"/>
      <c r="B88" s="4">
        <v>8.2220985477661171E-2</v>
      </c>
      <c r="C88" s="1" t="s">
        <v>20</v>
      </c>
      <c r="D88" s="4">
        <v>4.6747012780860392E-4</v>
      </c>
      <c r="E88" s="4">
        <v>5.2694439057995778E-5</v>
      </c>
      <c r="F88" s="4">
        <v>4.3125697012545011E-3</v>
      </c>
      <c r="G88" s="4">
        <v>4.8612398480177667E-4</v>
      </c>
      <c r="H88" s="4">
        <v>4.1890486194920661E-3</v>
      </c>
      <c r="I88" s="4">
        <v>4.722003697339637E-4</v>
      </c>
      <c r="J88" s="4">
        <v>3.8645387328150413E-2</v>
      </c>
      <c r="K88" s="4">
        <v>4.3562077794832392E-3</v>
      </c>
      <c r="AC88" s="7"/>
    </row>
    <row r="89" spans="1:29">
      <c r="A89" s="7"/>
      <c r="AC89" s="7"/>
    </row>
    <row r="90" spans="1:29">
      <c r="A90" s="7"/>
      <c r="C90" s="1" t="s">
        <v>32</v>
      </c>
      <c r="D90" s="4">
        <v>1.1277404550577805E-6</v>
      </c>
      <c r="E90" s="4">
        <v>1.0004565644594323E-5</v>
      </c>
      <c r="F90" s="4">
        <v>1.0403786312849473E-5</v>
      </c>
      <c r="G90" s="4">
        <v>9.2295494634801932E-5</v>
      </c>
      <c r="H90" s="4">
        <v>1.0105799954643004E-5</v>
      </c>
      <c r="I90" s="4">
        <v>8.9651957224664902E-5</v>
      </c>
      <c r="J90" s="4">
        <v>9.3229415311808501E-5</v>
      </c>
      <c r="K90" s="4">
        <v>8.2706956313484967E-4</v>
      </c>
      <c r="AC90" s="7"/>
    </row>
    <row r="91" spans="1:29">
      <c r="A91" s="7"/>
      <c r="C91" s="1"/>
      <c r="D91" s="1" t="s">
        <v>13</v>
      </c>
      <c r="E91" s="1" t="s">
        <v>14</v>
      </c>
      <c r="F91" s="1" t="s">
        <v>15</v>
      </c>
      <c r="G91" s="1" t="s">
        <v>16</v>
      </c>
      <c r="H91" s="1" t="s">
        <v>17</v>
      </c>
      <c r="I91" s="1" t="s">
        <v>18</v>
      </c>
      <c r="J91" s="1" t="s">
        <v>19</v>
      </c>
      <c r="K91" s="1" t="s">
        <v>20</v>
      </c>
      <c r="AC91" s="7"/>
    </row>
    <row r="92" spans="1:29">
      <c r="A92" s="7"/>
      <c r="B92" s="4">
        <v>9.9457806602947039E-4</v>
      </c>
      <c r="C92" s="1" t="s">
        <v>13</v>
      </c>
      <c r="D92" s="4">
        <v>1.1216259207745622E-9</v>
      </c>
      <c r="E92" s="4">
        <v>9.9503215502655023E-9</v>
      </c>
      <c r="F92" s="4">
        <v>1.0347377670417703E-8</v>
      </c>
      <c r="G92" s="4">
        <v>9.1795074557114665E-8</v>
      </c>
      <c r="H92" s="4">
        <v>1.0051006974569549E-8</v>
      </c>
      <c r="I92" s="4">
        <v>8.9165870232264028E-8</v>
      </c>
      <c r="J92" s="4">
        <v>9.2723931577876798E-8</v>
      </c>
      <c r="K92" s="4">
        <v>8.2258524657449779E-7</v>
      </c>
      <c r="AC92" s="7"/>
    </row>
    <row r="93" spans="1:29">
      <c r="A93" s="7"/>
      <c r="B93" s="4">
        <v>8.8232372135268414E-3</v>
      </c>
      <c r="C93" s="1" t="s">
        <v>14</v>
      </c>
      <c r="D93" s="4">
        <v>9.950321550265504E-9</v>
      </c>
      <c r="E93" s="4">
        <v>8.8272655900556779E-8</v>
      </c>
      <c r="F93" s="4">
        <v>9.1795074557114679E-8</v>
      </c>
      <c r="G93" s="4">
        <v>8.1434504290265135E-7</v>
      </c>
      <c r="H93" s="4">
        <v>8.9165870232264015E-8</v>
      </c>
      <c r="I93" s="4">
        <v>7.9102048525017998E-7</v>
      </c>
      <c r="J93" s="4">
        <v>8.225852465744979E-7</v>
      </c>
      <c r="K93" s="4">
        <v>7.2974309476267929E-6</v>
      </c>
      <c r="AC93" s="7"/>
    </row>
    <row r="94" spans="1:29">
      <c r="A94" s="7"/>
      <c r="B94" s="4">
        <v>9.175318331457346E-3</v>
      </c>
      <c r="C94" s="1" t="s">
        <v>15</v>
      </c>
      <c r="D94" s="4">
        <v>1.0347377670417703E-8</v>
      </c>
      <c r="E94" s="4">
        <v>9.1795074557114665E-8</v>
      </c>
      <c r="F94" s="4">
        <v>9.5458051272852798E-8</v>
      </c>
      <c r="G94" s="4">
        <v>8.4684054383362133E-7</v>
      </c>
      <c r="H94" s="4">
        <v>9.2723931577876772E-8</v>
      </c>
      <c r="I94" s="4">
        <v>8.2258524657449768E-7</v>
      </c>
      <c r="J94" s="4">
        <v>8.5540956334148669E-7</v>
      </c>
      <c r="K94" s="4">
        <v>7.588626524021605E-6</v>
      </c>
      <c r="AC94" s="7"/>
    </row>
    <row r="95" spans="1:29">
      <c r="A95" s="7"/>
      <c r="B95" s="4">
        <v>8.1397341157200459E-2</v>
      </c>
      <c r="C95" s="1" t="s">
        <v>16</v>
      </c>
      <c r="D95" s="4">
        <v>9.1795074557114652E-8</v>
      </c>
      <c r="E95" s="4">
        <v>8.1434504290265114E-7</v>
      </c>
      <c r="F95" s="4">
        <v>8.4684054383362123E-7</v>
      </c>
      <c r="G95" s="4">
        <v>7.5126078640615374E-6</v>
      </c>
      <c r="H95" s="4">
        <v>8.2258524657449758E-7</v>
      </c>
      <c r="I95" s="4">
        <v>7.2974309476267912E-6</v>
      </c>
      <c r="J95" s="4">
        <v>7.588626524021605E-6</v>
      </c>
      <c r="K95" s="4">
        <v>6.7321263391224102E-5</v>
      </c>
      <c r="AC95" s="7"/>
    </row>
    <row r="96" spans="1:29">
      <c r="A96" s="7"/>
      <c r="B96" s="4">
        <v>8.9125178843163684E-3</v>
      </c>
      <c r="C96" s="1" t="s">
        <v>17</v>
      </c>
      <c r="D96" s="4">
        <v>1.0051006974569549E-8</v>
      </c>
      <c r="E96" s="4">
        <v>8.9165870232264015E-8</v>
      </c>
      <c r="F96" s="4">
        <v>9.2723931577876772E-8</v>
      </c>
      <c r="G96" s="4">
        <v>8.2258524657449768E-7</v>
      </c>
      <c r="H96" s="4">
        <v>9.0068122831079322E-8</v>
      </c>
      <c r="I96" s="4">
        <v>7.9902467212879202E-7</v>
      </c>
      <c r="J96" s="4">
        <v>8.3090883131085158E-7</v>
      </c>
      <c r="K96" s="4">
        <v>7.3712722730130737E-6</v>
      </c>
      <c r="AC96" s="7"/>
    </row>
    <row r="97" spans="1:29">
      <c r="A97" s="7"/>
      <c r="B97" s="4">
        <v>7.9065949822377829E-2</v>
      </c>
      <c r="C97" s="1" t="s">
        <v>18</v>
      </c>
      <c r="D97" s="4">
        <v>8.9165870232264015E-8</v>
      </c>
      <c r="E97" s="4">
        <v>7.9102048525017977E-7</v>
      </c>
      <c r="F97" s="4">
        <v>8.2258524657449768E-7</v>
      </c>
      <c r="G97" s="4">
        <v>7.297430947626792E-6</v>
      </c>
      <c r="H97" s="4">
        <v>7.9902467212879191E-7</v>
      </c>
      <c r="I97" s="4">
        <v>7.0884171514033188E-6</v>
      </c>
      <c r="J97" s="4">
        <v>7.3712722730130745E-6</v>
      </c>
      <c r="K97" s="4">
        <v>6.5393040578435972E-5</v>
      </c>
      <c r="AC97" s="7"/>
    </row>
    <row r="98" spans="1:29">
      <c r="A98" s="7"/>
      <c r="B98" s="4">
        <v>8.2220985477661171E-2</v>
      </c>
      <c r="C98" s="1" t="s">
        <v>19</v>
      </c>
      <c r="D98" s="4">
        <v>9.2723931577876772E-8</v>
      </c>
      <c r="E98" s="4">
        <v>8.2258524657449768E-7</v>
      </c>
      <c r="F98" s="4">
        <v>8.5540956334148658E-7</v>
      </c>
      <c r="G98" s="4">
        <v>7.5886265240216041E-6</v>
      </c>
      <c r="H98" s="4">
        <v>8.3090883131085137E-7</v>
      </c>
      <c r="I98" s="4">
        <v>7.3712722730130737E-6</v>
      </c>
      <c r="J98" s="4">
        <v>7.6654144024430489E-6</v>
      </c>
      <c r="K98" s="4">
        <v>6.8002474539526046E-5</v>
      </c>
      <c r="AC98" s="7"/>
    </row>
    <row r="99" spans="1:29">
      <c r="A99" s="7"/>
      <c r="B99" s="4">
        <v>0.72941007204743047</v>
      </c>
      <c r="C99" s="1" t="s">
        <v>20</v>
      </c>
      <c r="D99" s="4">
        <v>8.2258524657449768E-7</v>
      </c>
      <c r="E99" s="4">
        <v>7.2974309476267929E-6</v>
      </c>
      <c r="F99" s="4">
        <v>7.588626524021605E-6</v>
      </c>
      <c r="G99" s="4">
        <v>6.7321263391224116E-5</v>
      </c>
      <c r="H99" s="4">
        <v>7.3712722730130737E-6</v>
      </c>
      <c r="I99" s="4">
        <v>6.5393040578435986E-5</v>
      </c>
      <c r="J99" s="4">
        <v>6.8002474539526059E-5</v>
      </c>
      <c r="K99" s="4">
        <v>6.0327286963442759E-4</v>
      </c>
      <c r="AC99" s="7"/>
    </row>
    <row r="100" spans="1:29">
      <c r="A100" s="7"/>
      <c r="AC100" s="7"/>
    </row>
    <row r="101" spans="1:29">
      <c r="A101" s="7"/>
      <c r="C101" s="1" t="s">
        <v>33</v>
      </c>
      <c r="AC101" s="7"/>
    </row>
    <row r="102" spans="1:29">
      <c r="A102" s="7"/>
      <c r="C102" s="1"/>
      <c r="D102" s="1" t="s">
        <v>13</v>
      </c>
      <c r="E102" s="1" t="s">
        <v>14</v>
      </c>
      <c r="F102" s="1" t="s">
        <v>15</v>
      </c>
      <c r="G102" s="1" t="s">
        <v>16</v>
      </c>
      <c r="H102" s="1" t="s">
        <v>17</v>
      </c>
      <c r="I102" s="1" t="s">
        <v>18</v>
      </c>
      <c r="J102" s="1" t="s">
        <v>19</v>
      </c>
      <c r="K102" s="1" t="s">
        <v>20</v>
      </c>
      <c r="AC102" s="7"/>
    </row>
    <row r="103" spans="1:29">
      <c r="A103" s="7"/>
      <c r="C103" s="1" t="s">
        <v>13</v>
      </c>
      <c r="D103" s="4">
        <v>2.4399022778748012E-3</v>
      </c>
      <c r="E103" s="4">
        <v>2.1205821197180154E-2</v>
      </c>
      <c r="F103" s="4">
        <v>7.2241874614039476E-4</v>
      </c>
      <c r="G103" s="4">
        <v>2.355444893064852E-3</v>
      </c>
      <c r="H103" s="4">
        <v>7.1636872627017908E-4</v>
      </c>
      <c r="I103" s="4">
        <v>2.4178703350687834E-3</v>
      </c>
      <c r="J103" s="4">
        <v>4.1761657988653696E-3</v>
      </c>
      <c r="K103" s="4">
        <v>7.2545525879935018E-4</v>
      </c>
      <c r="L103" s="7">
        <v>3.4759447233263886E-2</v>
      </c>
      <c r="AC103" s="7"/>
    </row>
    <row r="104" spans="1:29">
      <c r="A104" s="7"/>
      <c r="C104" s="1" t="s">
        <v>14</v>
      </c>
      <c r="D104" s="4">
        <v>2.1205821197180157E-2</v>
      </c>
      <c r="E104" s="4">
        <v>0.18807445917036428</v>
      </c>
      <c r="F104" s="4">
        <v>2.355444893064852E-3</v>
      </c>
      <c r="G104" s="4">
        <v>2.043903855165282E-2</v>
      </c>
      <c r="H104" s="4">
        <v>2.417870335068783E-3</v>
      </c>
      <c r="I104" s="4">
        <v>2.1005922462883228E-2</v>
      </c>
      <c r="J104" s="4">
        <v>7.2545525879935007E-4</v>
      </c>
      <c r="K104" s="4">
        <v>2.3413674814682225E-3</v>
      </c>
      <c r="L104" s="7">
        <v>0.25856537935048174</v>
      </c>
      <c r="T104" s="6"/>
      <c r="AC104" s="7"/>
    </row>
    <row r="105" spans="1:29">
      <c r="A105" s="7"/>
      <c r="C105" s="1" t="s">
        <v>15</v>
      </c>
      <c r="D105" s="4">
        <v>7.2241874614039465E-4</v>
      </c>
      <c r="E105" s="4">
        <v>2.3554448930648516E-3</v>
      </c>
      <c r="F105" s="4">
        <v>4.3029625834642964E-3</v>
      </c>
      <c r="G105" s="4">
        <v>7.7927634786753065E-4</v>
      </c>
      <c r="H105" s="4">
        <v>4.1761657988653696E-3</v>
      </c>
      <c r="I105" s="4">
        <v>7.2545525879934996E-4</v>
      </c>
      <c r="J105" s="4">
        <v>3.8262854571491464E-2</v>
      </c>
      <c r="K105" s="4">
        <v>4.3533365296007515E-3</v>
      </c>
      <c r="L105" s="7">
        <v>5.5677914729294009E-2</v>
      </c>
      <c r="AC105" s="7"/>
    </row>
    <row r="106" spans="1:29">
      <c r="A106" s="7"/>
      <c r="C106" s="1" t="s">
        <v>16</v>
      </c>
      <c r="D106" s="4">
        <v>2.355444893064852E-3</v>
      </c>
      <c r="E106" s="4">
        <v>2.0439038551652817E-2</v>
      </c>
      <c r="F106" s="4">
        <v>7.7927634786753076E-4</v>
      </c>
      <c r="G106" s="4">
        <v>2.698102568657251E-3</v>
      </c>
      <c r="H106" s="4">
        <v>7.2545525879935018E-4</v>
      </c>
      <c r="I106" s="4">
        <v>2.3413674814682225E-3</v>
      </c>
      <c r="J106" s="4">
        <v>4.3533365296007523E-3</v>
      </c>
      <c r="K106" s="4">
        <v>8.4778025817815856E-4</v>
      </c>
      <c r="L106" s="7">
        <v>3.4539801889288936E-2</v>
      </c>
      <c r="AC106" s="7"/>
    </row>
    <row r="107" spans="1:29">
      <c r="A107" s="7"/>
      <c r="C107" s="1" t="s">
        <v>17</v>
      </c>
      <c r="D107" s="4">
        <v>7.1636872627017908E-4</v>
      </c>
      <c r="E107" s="4">
        <v>2.417870335068783E-3</v>
      </c>
      <c r="F107" s="4">
        <v>4.1761657988653696E-3</v>
      </c>
      <c r="G107" s="4">
        <v>7.2545525879935007E-4</v>
      </c>
      <c r="H107" s="4">
        <v>4.0594946808126045E-3</v>
      </c>
      <c r="I107" s="4">
        <v>7.3078564503385149E-4</v>
      </c>
      <c r="J107" s="4">
        <v>3.7166671462249154E-2</v>
      </c>
      <c r="K107" s="4">
        <v>4.226391429206432E-3</v>
      </c>
      <c r="L107" s="7">
        <v>5.4219203336305727E-2</v>
      </c>
      <c r="AC107" s="7"/>
    </row>
    <row r="108" spans="1:29">
      <c r="A108" s="7"/>
      <c r="C108" s="1" t="s">
        <v>18</v>
      </c>
      <c r="D108" s="4">
        <v>2.4178703350687825E-3</v>
      </c>
      <c r="E108" s="4">
        <v>2.1005922462883221E-2</v>
      </c>
      <c r="F108" s="4">
        <v>7.2545525879934996E-4</v>
      </c>
      <c r="G108" s="4">
        <v>2.3413674814682221E-3</v>
      </c>
      <c r="H108" s="4">
        <v>7.3078564503385149E-4</v>
      </c>
      <c r="I108" s="4">
        <v>2.5059271071291517E-3</v>
      </c>
      <c r="J108" s="4">
        <v>4.2263914292064329E-3</v>
      </c>
      <c r="K108" s="4">
        <v>8.0348101987418768E-4</v>
      </c>
      <c r="L108" s="7">
        <v>3.4757200739463194E-2</v>
      </c>
      <c r="AC108" s="7"/>
    </row>
    <row r="109" spans="1:29">
      <c r="A109" s="7"/>
      <c r="C109" s="1" t="s">
        <v>19</v>
      </c>
      <c r="D109" s="4">
        <v>4.1761657988653696E-3</v>
      </c>
      <c r="E109" s="4">
        <v>7.2545525879934996E-4</v>
      </c>
      <c r="F109" s="4">
        <v>3.8262854571491471E-2</v>
      </c>
      <c r="G109" s="4">
        <v>4.3533365296007523E-3</v>
      </c>
      <c r="H109" s="4">
        <v>3.7166671462249161E-2</v>
      </c>
      <c r="I109" s="4">
        <v>4.2263914292064329E-3</v>
      </c>
      <c r="J109" s="4">
        <v>0.34284435347463249</v>
      </c>
      <c r="K109" s="4">
        <v>3.8717230357477928E-2</v>
      </c>
      <c r="L109" s="7">
        <v>0.47047245888232297</v>
      </c>
      <c r="AC109" s="7"/>
    </row>
    <row r="110" spans="1:29">
      <c r="A110" s="7"/>
      <c r="C110" s="1" t="s">
        <v>20</v>
      </c>
      <c r="D110" s="4">
        <v>7.2545525879934996E-4</v>
      </c>
      <c r="E110" s="4">
        <v>2.3413674814682225E-3</v>
      </c>
      <c r="F110" s="4">
        <v>4.3533365296007523E-3</v>
      </c>
      <c r="G110" s="4">
        <v>8.4778025817815867E-4</v>
      </c>
      <c r="H110" s="4">
        <v>4.2263914292064329E-3</v>
      </c>
      <c r="I110" s="4">
        <v>8.0348101987418779E-4</v>
      </c>
      <c r="J110" s="4">
        <v>3.8717230357477928E-2</v>
      </c>
      <c r="K110" s="4">
        <v>4.9935515049744101E-3</v>
      </c>
      <c r="L110" s="7">
        <v>5.7008593839579444E-2</v>
      </c>
      <c r="AC110" s="7"/>
    </row>
    <row r="111" spans="1:29">
      <c r="A111" s="7"/>
      <c r="D111" s="3">
        <v>3.4759447233263886E-2</v>
      </c>
      <c r="E111" s="3">
        <v>0.25856537935048174</v>
      </c>
      <c r="F111" s="3">
        <v>5.5677914729294016E-2</v>
      </c>
      <c r="G111" s="3">
        <v>3.4539801889288943E-2</v>
      </c>
      <c r="H111" s="3">
        <v>5.4219203336305727E-2</v>
      </c>
      <c r="I111" s="3">
        <v>3.4757200739463208E-2</v>
      </c>
      <c r="J111" s="3">
        <v>0.47047245888232292</v>
      </c>
      <c r="K111" s="3">
        <v>5.7008593839579437E-2</v>
      </c>
      <c r="L111" s="7">
        <v>0.99999999999999989</v>
      </c>
      <c r="AC111" s="7"/>
    </row>
    <row r="112" spans="1:29">
      <c r="A112" s="7"/>
      <c r="L112" s="7"/>
      <c r="M112" s="7"/>
      <c r="N112" s="7"/>
      <c r="O112" s="7"/>
      <c r="P112" s="7"/>
      <c r="Q112" s="7"/>
      <c r="R112" s="7"/>
      <c r="S112" s="7"/>
      <c r="T112" s="7"/>
      <c r="U112" s="7"/>
      <c r="V112" s="7"/>
      <c r="W112" s="7"/>
      <c r="X112" s="7"/>
      <c r="Y112" s="7"/>
      <c r="Z112" s="7"/>
      <c r="AA112" s="7"/>
      <c r="AB112" s="7"/>
      <c r="AC112" s="7"/>
    </row>
    <row r="113" spans="1:29">
      <c r="A113" s="7"/>
      <c r="C113" s="1" t="s">
        <v>34</v>
      </c>
      <c r="N113" t="s">
        <v>36</v>
      </c>
      <c r="O113" s="8">
        <v>0.61645745679767128</v>
      </c>
      <c r="W113" t="s">
        <v>54</v>
      </c>
      <c r="Y113" t="s">
        <v>60</v>
      </c>
      <c r="AC113" s="7"/>
    </row>
    <row r="114" spans="1:29">
      <c r="A114" s="7"/>
      <c r="C114" s="1"/>
      <c r="D114" s="1" t="s">
        <v>13</v>
      </c>
      <c r="E114" s="1" t="s">
        <v>14</v>
      </c>
      <c r="F114" s="1" t="s">
        <v>15</v>
      </c>
      <c r="G114" s="1" t="s">
        <v>16</v>
      </c>
      <c r="H114" s="1" t="s">
        <v>17</v>
      </c>
      <c r="I114" s="1" t="s">
        <v>18</v>
      </c>
      <c r="J114" s="1" t="s">
        <v>19</v>
      </c>
      <c r="K114" s="1" t="s">
        <v>20</v>
      </c>
      <c r="N114" t="s">
        <v>37</v>
      </c>
      <c r="O114" s="8">
        <v>0.61769876934048529</v>
      </c>
      <c r="R114" t="s">
        <v>58</v>
      </c>
      <c r="W114" s="1" t="s">
        <v>45</v>
      </c>
      <c r="X114" s="7" t="s">
        <v>47</v>
      </c>
      <c r="Y114" s="7" t="s">
        <v>48</v>
      </c>
      <c r="Z114" s="7" t="s">
        <v>49</v>
      </c>
      <c r="AA114" s="7" t="s">
        <v>50</v>
      </c>
      <c r="AB114" s="7"/>
      <c r="AC114" s="7"/>
    </row>
    <row r="115" spans="1:29">
      <c r="A115" s="7"/>
      <c r="C115" s="1" t="s">
        <v>13</v>
      </c>
      <c r="D115" s="5">
        <v>24.399022778748012</v>
      </c>
      <c r="E115" s="5">
        <v>212.05821197180154</v>
      </c>
      <c r="F115" s="5">
        <v>7.2241874614039476</v>
      </c>
      <c r="G115" s="5">
        <v>23.554448930648519</v>
      </c>
      <c r="H115" s="5">
        <v>7.1636872627017905</v>
      </c>
      <c r="I115" s="5">
        <v>24.178703350687833</v>
      </c>
      <c r="J115" s="5">
        <v>41.761657988653695</v>
      </c>
      <c r="K115" s="5">
        <v>7.2545525879935022</v>
      </c>
      <c r="L115" s="12">
        <v>347.59447233263887</v>
      </c>
      <c r="N115" t="s">
        <v>38</v>
      </c>
      <c r="O115" s="8">
        <v>0.3848709758188133</v>
      </c>
      <c r="W115" s="1" t="s">
        <v>13</v>
      </c>
      <c r="X115" s="5">
        <v>347.59447233263887</v>
      </c>
      <c r="Y115" s="5">
        <v>24.399022778748012</v>
      </c>
      <c r="Z115" s="5">
        <v>323.19544955389085</v>
      </c>
      <c r="AA115" s="8">
        <v>8.0218980620839556E-2</v>
      </c>
      <c r="AB115" s="8">
        <v>3.6180236194746165</v>
      </c>
      <c r="AC115" s="7"/>
    </row>
    <row r="116" spans="1:29">
      <c r="A116" s="7"/>
      <c r="C116" s="1" t="s">
        <v>14</v>
      </c>
      <c r="D116" s="5">
        <v>212.05821197180157</v>
      </c>
      <c r="E116" s="5">
        <v>1880.7445917036428</v>
      </c>
      <c r="F116" s="5">
        <v>23.554448930648519</v>
      </c>
      <c r="G116" s="5">
        <v>204.3903855165282</v>
      </c>
      <c r="H116" s="5">
        <v>24.178703350687829</v>
      </c>
      <c r="I116" s="5">
        <v>210.05922462883228</v>
      </c>
      <c r="J116" s="5">
        <v>7.2545525879935004</v>
      </c>
      <c r="K116" s="5">
        <v>23.413674814682224</v>
      </c>
      <c r="L116" s="12">
        <v>2585.6537935048173</v>
      </c>
      <c r="M116" s="10" t="s">
        <v>39</v>
      </c>
      <c r="N116" s="10">
        <v>1</v>
      </c>
      <c r="O116" s="10">
        <v>2</v>
      </c>
      <c r="P116" s="10" t="s">
        <v>39</v>
      </c>
      <c r="Q116" s="10">
        <v>1</v>
      </c>
      <c r="R116" s="10">
        <v>2</v>
      </c>
      <c r="S116" s="10" t="s">
        <v>11</v>
      </c>
      <c r="T116" s="10" t="s">
        <v>42</v>
      </c>
      <c r="U116" s="10" t="s">
        <v>43</v>
      </c>
      <c r="V116" s="10"/>
      <c r="W116" s="1" t="s">
        <v>14</v>
      </c>
      <c r="X116" s="5">
        <v>2585.6537935048173</v>
      </c>
      <c r="Y116" s="5">
        <v>1880.7445917036428</v>
      </c>
      <c r="Z116" s="5">
        <v>704.9092018011745</v>
      </c>
      <c r="AA116" s="8">
        <v>1.4685309469055574E-2</v>
      </c>
      <c r="AB116" s="8">
        <v>6.2014187033480354E-3</v>
      </c>
      <c r="AC116" s="7"/>
    </row>
    <row r="117" spans="1:29">
      <c r="A117" s="7"/>
      <c r="C117" s="1" t="s">
        <v>15</v>
      </c>
      <c r="D117" s="5">
        <v>7.2241874614039467</v>
      </c>
      <c r="E117" s="5">
        <v>23.554448930648515</v>
      </c>
      <c r="F117" s="5">
        <v>43.029625834642964</v>
      </c>
      <c r="G117" s="5">
        <v>7.7927634786753064</v>
      </c>
      <c r="H117" s="5">
        <v>41.761657988653695</v>
      </c>
      <c r="I117" s="5">
        <v>7.2545525879934996</v>
      </c>
      <c r="J117" s="5">
        <v>382.62854571491465</v>
      </c>
      <c r="K117" s="5">
        <v>43.533365296007517</v>
      </c>
      <c r="L117" s="12">
        <v>556.77914729294014</v>
      </c>
      <c r="M117" s="10">
        <v>1</v>
      </c>
      <c r="N117" s="5">
        <v>2932.3031585830176</v>
      </c>
      <c r="O117" s="5">
        <v>903.12227344026701</v>
      </c>
      <c r="P117" s="10">
        <v>1</v>
      </c>
      <c r="Q117">
        <v>0.47455040117413805</v>
      </c>
      <c r="R117">
        <v>1.6554562581850159E-5</v>
      </c>
      <c r="S117" s="23">
        <v>0.70198081295924375</v>
      </c>
      <c r="T117">
        <v>0.59788108819683827</v>
      </c>
      <c r="U117" s="23">
        <v>0.40211891180316173</v>
      </c>
      <c r="W117" s="1" t="s">
        <v>15</v>
      </c>
      <c r="X117" s="5">
        <v>556.77914729294014</v>
      </c>
      <c r="Y117" s="5">
        <v>43.029625834642964</v>
      </c>
      <c r="Z117" s="5">
        <v>513.74952145829718</v>
      </c>
      <c r="AA117" s="8">
        <v>0.8449152647877195</v>
      </c>
      <c r="AB117" s="8">
        <v>0.51402101959092517</v>
      </c>
      <c r="AC117" s="7"/>
    </row>
    <row r="118" spans="1:29">
      <c r="A118" s="7"/>
      <c r="C118" s="1" t="s">
        <v>16</v>
      </c>
      <c r="D118" s="5">
        <v>23.554448930648519</v>
      </c>
      <c r="E118" s="5">
        <v>204.39038551652817</v>
      </c>
      <c r="F118" s="5">
        <v>7.7927634786753073</v>
      </c>
      <c r="G118" s="5">
        <v>26.981025686572512</v>
      </c>
      <c r="H118" s="5">
        <v>7.2545525879935022</v>
      </c>
      <c r="I118" s="5">
        <v>23.413674814682224</v>
      </c>
      <c r="J118" s="5">
        <v>43.533365296007524</v>
      </c>
      <c r="K118" s="5">
        <v>8.4778025817815852</v>
      </c>
      <c r="L118" s="12">
        <v>345.3980188928893</v>
      </c>
      <c r="M118" s="10">
        <v>2</v>
      </c>
      <c r="N118" s="5">
        <v>903.12227344026678</v>
      </c>
      <c r="O118" s="5">
        <v>5261.4522945364461</v>
      </c>
      <c r="P118" s="10">
        <v>2</v>
      </c>
      <c r="Q118">
        <v>3.8253590379728697E-2</v>
      </c>
      <c r="R118">
        <v>0.18916026684279516</v>
      </c>
      <c r="W118" s="1" t="s">
        <v>16</v>
      </c>
      <c r="X118" s="5">
        <v>345.3980188928893</v>
      </c>
      <c r="Y118" s="5">
        <v>26.981025686572512</v>
      </c>
      <c r="Z118" s="5">
        <v>318.41699320631676</v>
      </c>
      <c r="AA118" s="8">
        <v>0.14545269021455901</v>
      </c>
      <c r="AB118" s="8">
        <v>0.95268675611269582</v>
      </c>
      <c r="AC118" s="7"/>
    </row>
    <row r="119" spans="1:29">
      <c r="A119" s="7"/>
      <c r="C119" s="1" t="s">
        <v>17</v>
      </c>
      <c r="D119" s="5">
        <v>7.1636872627017905</v>
      </c>
      <c r="E119" s="5">
        <v>24.178703350687829</v>
      </c>
      <c r="F119" s="5">
        <v>41.761657988653695</v>
      </c>
      <c r="G119" s="5">
        <v>7.2545525879935004</v>
      </c>
      <c r="H119" s="5">
        <v>40.594946808126046</v>
      </c>
      <c r="I119" s="5">
        <v>7.3078564503385151</v>
      </c>
      <c r="J119" s="5">
        <v>371.66671462249155</v>
      </c>
      <c r="K119" s="5">
        <v>42.263914292064321</v>
      </c>
      <c r="L119" s="12">
        <v>542.19203336305725</v>
      </c>
      <c r="M119" s="10" t="s">
        <v>40</v>
      </c>
      <c r="N119" s="10">
        <v>1</v>
      </c>
      <c r="O119" s="10">
        <v>2</v>
      </c>
      <c r="P119" s="10" t="s">
        <v>40</v>
      </c>
      <c r="Q119" s="10">
        <v>1</v>
      </c>
      <c r="R119" s="10">
        <v>2</v>
      </c>
      <c r="S119" s="10" t="s">
        <v>11</v>
      </c>
      <c r="T119" s="10" t="s">
        <v>42</v>
      </c>
      <c r="U119" s="10" t="s">
        <v>43</v>
      </c>
      <c r="W119" s="1" t="s">
        <v>17</v>
      </c>
      <c r="X119" s="5">
        <v>542.19203336305725</v>
      </c>
      <c r="Y119" s="5">
        <v>40.594946808126046</v>
      </c>
      <c r="Z119" s="5">
        <v>501.5970865549312</v>
      </c>
      <c r="AA119" s="8">
        <v>1.4209457470385785</v>
      </c>
      <c r="AB119" s="8">
        <v>5.0851281482925071E-3</v>
      </c>
      <c r="AC119" s="7"/>
    </row>
    <row r="120" spans="1:29">
      <c r="A120" s="7"/>
      <c r="C120" s="1" t="s">
        <v>18</v>
      </c>
      <c r="D120" s="5">
        <v>24.178703350687826</v>
      </c>
      <c r="E120" s="5">
        <v>210.0592246288322</v>
      </c>
      <c r="F120" s="5">
        <v>7.2545525879934996</v>
      </c>
      <c r="G120" s="5">
        <v>23.413674814682221</v>
      </c>
      <c r="H120" s="5">
        <v>7.3078564503385151</v>
      </c>
      <c r="I120" s="5">
        <v>25.059271071291516</v>
      </c>
      <c r="J120" s="5">
        <v>42.263914292064328</v>
      </c>
      <c r="K120" s="5">
        <v>8.0348101987418765</v>
      </c>
      <c r="L120" s="12">
        <v>347.57200739463195</v>
      </c>
      <c r="M120" s="10">
        <v>1</v>
      </c>
      <c r="N120" s="5">
        <v>2940.6906063919087</v>
      </c>
      <c r="O120" s="5">
        <v>882.32170020323713</v>
      </c>
      <c r="P120" s="10">
        <v>1</v>
      </c>
      <c r="Q120">
        <v>0.87378712020715255</v>
      </c>
      <c r="R120">
        <v>0.10616251071966616</v>
      </c>
      <c r="S120" s="23">
        <v>1.2585354160974902</v>
      </c>
      <c r="T120">
        <v>0.73807150151225631</v>
      </c>
      <c r="U120" s="23">
        <v>0.26192849848774369</v>
      </c>
      <c r="W120" s="1" t="s">
        <v>18</v>
      </c>
      <c r="X120" s="5">
        <v>347.57200739463195</v>
      </c>
      <c r="Y120" s="5">
        <v>25.059271071291516</v>
      </c>
      <c r="Z120" s="5">
        <v>322.51273632334045</v>
      </c>
      <c r="AA120" s="8">
        <v>0.37348011684039706</v>
      </c>
      <c r="AB120" s="8">
        <v>8.1515707029041862E-4</v>
      </c>
      <c r="AC120" s="7"/>
    </row>
    <row r="121" spans="1:29">
      <c r="A121" s="7"/>
      <c r="C121" s="1" t="s">
        <v>19</v>
      </c>
      <c r="D121" s="5">
        <v>41.761657988653695</v>
      </c>
      <c r="E121" s="5">
        <v>7.2545525879934996</v>
      </c>
      <c r="F121" s="5">
        <v>382.62854571491471</v>
      </c>
      <c r="G121" s="5">
        <v>43.533365296007524</v>
      </c>
      <c r="H121" s="5">
        <v>371.66671462249161</v>
      </c>
      <c r="I121" s="5">
        <v>42.263914292064328</v>
      </c>
      <c r="J121" s="5">
        <v>3428.443534746325</v>
      </c>
      <c r="K121" s="5">
        <v>387.17230357477928</v>
      </c>
      <c r="L121" s="12">
        <v>4704.7245888232292</v>
      </c>
      <c r="M121" s="10">
        <v>2</v>
      </c>
      <c r="N121" s="5">
        <v>882.32170020323713</v>
      </c>
      <c r="O121" s="5">
        <v>5294.6659932016155</v>
      </c>
      <c r="P121" s="10">
        <v>2</v>
      </c>
      <c r="Q121">
        <v>1.533441758459444E-2</v>
      </c>
      <c r="R121">
        <v>0.26325136758607709</v>
      </c>
      <c r="W121" s="1" t="s">
        <v>19</v>
      </c>
      <c r="X121" s="5">
        <v>4704.7245888232292</v>
      </c>
      <c r="Y121" s="5">
        <v>3428.443534746325</v>
      </c>
      <c r="Z121" s="5">
        <v>1276.2810540769042</v>
      </c>
      <c r="AA121" s="8">
        <v>4.5163805503494796E-2</v>
      </c>
      <c r="AB121" s="8">
        <v>2.0958153056113082</v>
      </c>
      <c r="AC121" s="7"/>
    </row>
    <row r="122" spans="1:29">
      <c r="A122" s="7"/>
      <c r="C122" s="1" t="s">
        <v>20</v>
      </c>
      <c r="D122" s="5">
        <v>7.2545525879934996</v>
      </c>
      <c r="E122" s="5">
        <v>23.413674814682224</v>
      </c>
      <c r="F122" s="5">
        <v>43.533365296007524</v>
      </c>
      <c r="G122" s="5">
        <v>8.477802581781587</v>
      </c>
      <c r="H122" s="5">
        <v>42.263914292064328</v>
      </c>
      <c r="I122" s="5">
        <v>8.0348101987418783</v>
      </c>
      <c r="J122" s="5">
        <v>387.17230357477928</v>
      </c>
      <c r="K122" s="5">
        <v>49.935515049744104</v>
      </c>
      <c r="L122" s="12">
        <v>570.08593839579441</v>
      </c>
      <c r="M122" s="10" t="s">
        <v>41</v>
      </c>
      <c r="N122" s="10">
        <v>1</v>
      </c>
      <c r="O122" s="10">
        <v>2</v>
      </c>
      <c r="P122" s="10" t="s">
        <v>41</v>
      </c>
      <c r="Q122" s="10">
        <v>1</v>
      </c>
      <c r="R122" s="10">
        <v>2</v>
      </c>
      <c r="S122" s="10" t="s">
        <v>11</v>
      </c>
      <c r="T122" s="10" t="s">
        <v>42</v>
      </c>
      <c r="U122" s="10" t="s">
        <v>43</v>
      </c>
      <c r="W122" s="1" t="s">
        <v>20</v>
      </c>
      <c r="X122" s="5">
        <v>570.08593839579441</v>
      </c>
      <c r="Y122" s="5">
        <v>49.935515049744104</v>
      </c>
      <c r="Z122" s="5">
        <v>520.15042334605027</v>
      </c>
      <c r="AA122" s="8">
        <v>2.8528096558282727</v>
      </c>
      <c r="AB122" s="8">
        <v>1.0037541638553564</v>
      </c>
      <c r="AC122" s="7"/>
    </row>
    <row r="123" spans="1:29">
      <c r="A123" s="7"/>
      <c r="D123" s="12">
        <v>347.59447233263887</v>
      </c>
      <c r="E123" s="12">
        <v>2585.6537935048168</v>
      </c>
      <c r="F123" s="12">
        <v>556.77914729294025</v>
      </c>
      <c r="G123" s="12">
        <v>345.39801889288935</v>
      </c>
      <c r="H123" s="12">
        <v>542.19203336305736</v>
      </c>
      <c r="I123" s="12">
        <v>347.57200739463207</v>
      </c>
      <c r="J123" s="12">
        <v>4704.7245888232292</v>
      </c>
      <c r="K123" s="12">
        <v>570.08593839579441</v>
      </c>
      <c r="L123" s="1">
        <v>9999.9999999999982</v>
      </c>
      <c r="M123" s="10">
        <v>1</v>
      </c>
      <c r="N123" s="5">
        <v>5240.8800322454808</v>
      </c>
      <c r="O123" s="5">
        <v>910.41020956638499</v>
      </c>
      <c r="P123" s="10">
        <v>1</v>
      </c>
      <c r="Q123">
        <v>4.5440297374502534E-3</v>
      </c>
      <c r="R123">
        <v>0.10101389417024997</v>
      </c>
      <c r="S123" s="23">
        <v>0.23565405055052291</v>
      </c>
      <c r="T123">
        <v>0.37263723845495833</v>
      </c>
      <c r="U123" s="23">
        <v>0.62736276154504167</v>
      </c>
      <c r="W123" s="1" t="s">
        <v>59</v>
      </c>
      <c r="X123" s="7">
        <v>9999.9999999999982</v>
      </c>
      <c r="Y123" s="7">
        <v>5519.1875336790927</v>
      </c>
      <c r="Z123" s="7">
        <v>4480.8124663209055</v>
      </c>
      <c r="AA123" s="7">
        <v>5.7776715703029167</v>
      </c>
      <c r="AB123" s="7">
        <v>8.1964025685668336</v>
      </c>
      <c r="AC123" s="11">
        <v>13.974074138869749</v>
      </c>
    </row>
    <row r="124" spans="1:29">
      <c r="A124" s="7"/>
      <c r="M124" s="10">
        <v>2</v>
      </c>
      <c r="N124" s="5">
        <v>910.41020956638499</v>
      </c>
      <c r="O124" s="5">
        <v>2938.2995486217469</v>
      </c>
      <c r="P124" s="10">
        <v>2</v>
      </c>
      <c r="Q124">
        <v>0.11903695946871005</v>
      </c>
      <c r="R124">
        <v>1.1059167174112629E-2</v>
      </c>
      <c r="AC124" s="7" t="s">
        <v>51</v>
      </c>
    </row>
    <row r="125" spans="1:29">
      <c r="A125" s="7"/>
      <c r="C125" s="1" t="s">
        <v>35</v>
      </c>
      <c r="L125" s="7"/>
      <c r="M125" s="7"/>
      <c r="N125" s="7"/>
      <c r="O125" s="7"/>
      <c r="P125" s="7"/>
      <c r="Q125" s="7"/>
      <c r="R125" s="7"/>
      <c r="S125" s="7"/>
      <c r="T125" s="7"/>
      <c r="U125" s="7"/>
      <c r="V125" s="7"/>
      <c r="W125" s="7"/>
      <c r="X125" s="7"/>
      <c r="Y125" s="7"/>
      <c r="Z125" s="7"/>
      <c r="AA125" s="7"/>
      <c r="AB125" s="7"/>
      <c r="AC125" s="7"/>
    </row>
    <row r="126" spans="1:29">
      <c r="A126" s="7"/>
      <c r="C126" s="1"/>
      <c r="D126" s="1" t="s">
        <v>13</v>
      </c>
      <c r="E126" s="1" t="s">
        <v>14</v>
      </c>
      <c r="F126" s="1" t="s">
        <v>15</v>
      </c>
      <c r="G126" s="1" t="s">
        <v>16</v>
      </c>
      <c r="H126" s="1" t="s">
        <v>17</v>
      </c>
      <c r="I126" s="1" t="s">
        <v>18</v>
      </c>
      <c r="J126" s="1" t="s">
        <v>19</v>
      </c>
      <c r="K126" s="1" t="s">
        <v>20</v>
      </c>
      <c r="AC126" s="7"/>
    </row>
    <row r="127" spans="1:29">
      <c r="A127" s="7"/>
      <c r="C127" s="1" t="s">
        <v>13</v>
      </c>
      <c r="D127" s="8">
        <v>-1.3581239068834297</v>
      </c>
      <c r="E127" s="8">
        <v>-19.078166347273047</v>
      </c>
      <c r="F127" s="8">
        <v>-1.8399842657532075</v>
      </c>
      <c r="G127" s="8">
        <v>-1.5019897973223333</v>
      </c>
      <c r="H127" s="8">
        <v>-2.6112376217147997</v>
      </c>
      <c r="I127" s="8">
        <v>0.8350901496895291</v>
      </c>
      <c r="J127" s="8">
        <v>-7.7705457757355791</v>
      </c>
      <c r="K127" s="8">
        <v>1.9403582613474175</v>
      </c>
      <c r="L127" s="13">
        <v>-31.384599303645455</v>
      </c>
      <c r="AC127" s="7"/>
    </row>
    <row r="128" spans="1:29">
      <c r="A128" s="7"/>
      <c r="C128" s="1" t="s">
        <v>14</v>
      </c>
      <c r="D128" s="8">
        <v>-14.510447323989228</v>
      </c>
      <c r="E128" s="8">
        <v>5.2627441213811714</v>
      </c>
      <c r="F128" s="8">
        <v>2.5683273498613799</v>
      </c>
      <c r="G128" s="8">
        <v>14.052987008054362</v>
      </c>
      <c r="H128" s="8">
        <v>6.4717548834460796</v>
      </c>
      <c r="I128" s="8">
        <v>-3.0368389848173973</v>
      </c>
      <c r="J128" s="8">
        <v>-2.3813394153775729</v>
      </c>
      <c r="K128" s="8">
        <v>1.6388894851564912</v>
      </c>
      <c r="L128" s="13">
        <v>10.066077123715289</v>
      </c>
      <c r="AC128" s="7"/>
    </row>
    <row r="129" spans="1:29">
      <c r="A129" s="7"/>
      <c r="C129" s="1" t="s">
        <v>15</v>
      </c>
      <c r="D129" s="8">
        <v>-0.22067231570599927</v>
      </c>
      <c r="E129" s="8">
        <v>4.840914212462625</v>
      </c>
      <c r="F129" s="8">
        <v>-5.5859247324602714</v>
      </c>
      <c r="G129" s="8">
        <v>1.2962613007777548</v>
      </c>
      <c r="H129" s="8">
        <v>0.23902085355492661</v>
      </c>
      <c r="I129" s="8">
        <v>4.5789266361749554</v>
      </c>
      <c r="J129" s="8">
        <v>2.378788046481326</v>
      </c>
      <c r="K129" s="8">
        <v>4.6883207290768505</v>
      </c>
      <c r="L129" s="13">
        <v>12.215634730362169</v>
      </c>
      <c r="AC129" s="7"/>
    </row>
    <row r="130" spans="1:29">
      <c r="A130" s="7"/>
      <c r="C130" s="1" t="s">
        <v>16</v>
      </c>
      <c r="D130" s="8">
        <v>0.44973872339947857</v>
      </c>
      <c r="E130" s="8">
        <v>-12.006997940178174</v>
      </c>
      <c r="F130" s="8">
        <v>-2.6676047311863131</v>
      </c>
      <c r="G130" s="8">
        <v>-1.9064510435195425</v>
      </c>
      <c r="H130" s="8">
        <v>-0.25003346136279575</v>
      </c>
      <c r="I130" s="8">
        <v>0.59360603726410832</v>
      </c>
      <c r="J130" s="8">
        <v>2.5352317687673653</v>
      </c>
      <c r="K130" s="8">
        <v>-3.0046277023887229</v>
      </c>
      <c r="L130" s="13">
        <v>-16.257138349204599</v>
      </c>
      <c r="AC130" s="7"/>
    </row>
    <row r="131" spans="1:29">
      <c r="A131" s="7"/>
      <c r="C131" s="1" t="s">
        <v>17</v>
      </c>
      <c r="D131" s="8">
        <v>0.88333369952100993</v>
      </c>
      <c r="E131" s="8">
        <v>-3.7947989065325678</v>
      </c>
      <c r="F131" s="8">
        <v>-5.3445494564485063</v>
      </c>
      <c r="G131" s="8">
        <v>-1.8609565126509173</v>
      </c>
      <c r="H131" s="8">
        <v>-6.8354891398538129</v>
      </c>
      <c r="I131" s="8">
        <v>-1.1831431577037663</v>
      </c>
      <c r="J131" s="8">
        <v>18.778193798701636</v>
      </c>
      <c r="K131" s="8">
        <v>-6.6004949658313423</v>
      </c>
      <c r="L131" s="13">
        <v>-5.9579046407982661</v>
      </c>
      <c r="AC131" s="7"/>
    </row>
    <row r="132" spans="1:29">
      <c r="A132" s="7"/>
      <c r="C132" s="1" t="s">
        <v>18</v>
      </c>
      <c r="D132" s="8">
        <v>-5.9884008720148545</v>
      </c>
      <c r="E132" s="8">
        <v>3.9775114329360077</v>
      </c>
      <c r="F132" s="8">
        <v>1.9403582613474206</v>
      </c>
      <c r="G132" s="8">
        <v>2.7241836065480705</v>
      </c>
      <c r="H132" s="8">
        <v>-0.3012789251969194</v>
      </c>
      <c r="I132" s="8">
        <v>-2.8644309836523729</v>
      </c>
      <c r="J132" s="8">
        <v>-6.6004949658313512</v>
      </c>
      <c r="K132" s="8">
        <v>7.7738353352326897</v>
      </c>
      <c r="L132" s="13">
        <v>0.66128288936869062</v>
      </c>
      <c r="AC132" s="7"/>
    </row>
    <row r="133" spans="1:29">
      <c r="A133" s="7"/>
      <c r="C133" s="1" t="s">
        <v>19</v>
      </c>
      <c r="D133" s="8">
        <v>5.55394093812781</v>
      </c>
      <c r="E133" s="8">
        <v>3.2095587802976198</v>
      </c>
      <c r="F133" s="8">
        <v>12.569334841255662</v>
      </c>
      <c r="G133" s="8">
        <v>4.6883207290768505</v>
      </c>
      <c r="H133" s="8">
        <v>4.3584487946351924</v>
      </c>
      <c r="I133" s="8">
        <v>1.771264086967024</v>
      </c>
      <c r="J133" s="8">
        <v>-12.420925473549275</v>
      </c>
      <c r="K133" s="8">
        <v>21.378119446250675</v>
      </c>
      <c r="L133" s="13">
        <v>41.108062143061559</v>
      </c>
      <c r="AC133" s="7"/>
    </row>
    <row r="134" spans="1:29">
      <c r="A134" s="7"/>
      <c r="C134" s="1" t="s">
        <v>20</v>
      </c>
      <c r="D134" s="8">
        <v>-2.3813394153775729</v>
      </c>
      <c r="E134" s="8">
        <v>2.7241836065480656</v>
      </c>
      <c r="F134" s="8">
        <v>-11.780723139570494</v>
      </c>
      <c r="G134" s="8">
        <v>8.5589837157770781</v>
      </c>
      <c r="H134" s="8">
        <v>-5.774928965482605</v>
      </c>
      <c r="I134" s="8">
        <v>-3.4734683350417038E-2</v>
      </c>
      <c r="J134" s="8">
        <v>39.61822209428626</v>
      </c>
      <c r="K134" s="8">
        <v>-10.379559944126783</v>
      </c>
      <c r="L134" s="13">
        <v>20.550103268703531</v>
      </c>
      <c r="AC134" s="7"/>
    </row>
    <row r="135" spans="1:29">
      <c r="A135" s="7"/>
      <c r="D135" s="13">
        <v>-17.571970472922786</v>
      </c>
      <c r="E135" s="13">
        <v>-14.865051040358297</v>
      </c>
      <c r="F135" s="13">
        <v>-10.140765872954331</v>
      </c>
      <c r="G135" s="13">
        <v>26.051339006741323</v>
      </c>
      <c r="H135" s="13">
        <v>-4.7037435819747344</v>
      </c>
      <c r="I135" s="13">
        <v>0.65973910057166318</v>
      </c>
      <c r="J135" s="13">
        <v>34.13713007774281</v>
      </c>
      <c r="K135" s="13">
        <v>17.434840644717276</v>
      </c>
      <c r="L135" s="2">
        <v>62.003035723125834</v>
      </c>
      <c r="M135" t="s">
        <v>53</v>
      </c>
      <c r="AC135" s="7"/>
    </row>
    <row r="136" spans="1:29">
      <c r="A136" s="7"/>
      <c r="AC136" s="7"/>
    </row>
    <row r="137" spans="1:29">
      <c r="A137" s="7"/>
      <c r="AC137" s="7"/>
    </row>
    <row r="138" spans="1:29">
      <c r="A138" s="7"/>
      <c r="C138" t="s">
        <v>52</v>
      </c>
      <c r="AC138" s="7"/>
    </row>
    <row r="139" spans="1:29">
      <c r="A139" s="7"/>
      <c r="C139" s="1"/>
      <c r="D139" s="1" t="s">
        <v>13</v>
      </c>
      <c r="E139" s="1" t="s">
        <v>14</v>
      </c>
      <c r="F139" s="1" t="s">
        <v>15</v>
      </c>
      <c r="G139" s="1" t="s">
        <v>16</v>
      </c>
      <c r="H139" s="1" t="s">
        <v>17</v>
      </c>
      <c r="I139" s="1" t="s">
        <v>18</v>
      </c>
      <c r="J139" s="1" t="s">
        <v>19</v>
      </c>
      <c r="K139" s="1" t="s">
        <v>20</v>
      </c>
      <c r="L139" s="7"/>
      <c r="AC139" s="7"/>
    </row>
    <row r="140" spans="1:29">
      <c r="A140" s="7"/>
      <c r="C140" s="1" t="s">
        <v>13</v>
      </c>
      <c r="D140" s="8">
        <v>8.0218980620839556E-2</v>
      </c>
      <c r="E140" s="8">
        <v>1.8972708661677424</v>
      </c>
      <c r="F140" s="8">
        <v>0.68478425980728019</v>
      </c>
      <c r="G140" s="8">
        <v>0.10258408019260742</v>
      </c>
      <c r="H140" s="8">
        <v>2.420023513847076</v>
      </c>
      <c r="I140" s="8">
        <v>2.7897616195047267E-2</v>
      </c>
      <c r="J140" s="8">
        <v>1.8382088836366601</v>
      </c>
      <c r="K140" s="8">
        <v>0.4199551428054118</v>
      </c>
      <c r="L140" s="14">
        <v>7.4709433432726637</v>
      </c>
      <c r="AC140" s="7"/>
    </row>
    <row r="141" spans="1:29">
      <c r="A141" s="7"/>
      <c r="C141" s="1" t="s">
        <v>14</v>
      </c>
      <c r="D141" s="8">
        <v>1.0692806738267704</v>
      </c>
      <c r="E141" s="8">
        <v>1.4685309469055574E-2</v>
      </c>
      <c r="F141" s="8">
        <v>0.25391042050761775</v>
      </c>
      <c r="G141" s="8">
        <v>0.90621486877007396</v>
      </c>
      <c r="H141" s="8">
        <v>1.4015430930182236</v>
      </c>
      <c r="I141" s="8">
        <v>4.4553412715822437E-2</v>
      </c>
      <c r="J141" s="8">
        <v>1.4600642037588163</v>
      </c>
      <c r="K141" s="8">
        <v>0.10747683195785553</v>
      </c>
      <c r="L141" s="14">
        <v>5.2577288140242358</v>
      </c>
      <c r="AC141" s="7"/>
    </row>
    <row r="142" spans="1:29">
      <c r="A142" s="7"/>
      <c r="C142" s="1" t="s">
        <v>15</v>
      </c>
      <c r="D142" s="8">
        <v>6.9571862744794545E-3</v>
      </c>
      <c r="E142" s="8">
        <v>0.83903148693481244</v>
      </c>
      <c r="F142" s="8">
        <v>0.8449152647877195</v>
      </c>
      <c r="G142" s="8">
        <v>0.187022231896084</v>
      </c>
      <c r="H142" s="8">
        <v>1.3602648244482049E-3</v>
      </c>
      <c r="I142" s="8">
        <v>1.933734182218704</v>
      </c>
      <c r="J142" s="8">
        <v>1.4697793693729767E-2</v>
      </c>
      <c r="K142" s="8">
        <v>0.45828815308105125</v>
      </c>
      <c r="L142" s="14">
        <v>4.2860065637110285</v>
      </c>
      <c r="AC142" s="7"/>
    </row>
    <row r="143" spans="1:29">
      <c r="A143" s="7"/>
      <c r="C143" s="1" t="s">
        <v>16</v>
      </c>
      <c r="D143" s="8">
        <v>8.4279515935498719E-3</v>
      </c>
      <c r="E143" s="8">
        <v>0.75111974010037963</v>
      </c>
      <c r="F143" s="8">
        <v>1.8459503928917569</v>
      </c>
      <c r="G143" s="8">
        <v>0.14545269021455901</v>
      </c>
      <c r="H143" s="8">
        <v>8.9319112747808412E-3</v>
      </c>
      <c r="I143" s="8">
        <v>1.4682753803446037E-2</v>
      </c>
      <c r="J143" s="8">
        <v>0.13976146161845301</v>
      </c>
      <c r="K143" s="8">
        <v>2.3650840849370462</v>
      </c>
      <c r="L143" s="14">
        <v>5.2794109864339713</v>
      </c>
      <c r="AC143" s="7"/>
    </row>
    <row r="144" spans="1:29">
      <c r="A144" s="7"/>
      <c r="C144" s="1" t="s">
        <v>17</v>
      </c>
      <c r="D144" s="8">
        <v>9.7633937512710114E-2</v>
      </c>
      <c r="E144" s="8">
        <v>0.72218768061244898</v>
      </c>
      <c r="F144" s="8">
        <v>0.79490864053424848</v>
      </c>
      <c r="G144" s="8">
        <v>0.70066448762680678</v>
      </c>
      <c r="H144" s="8">
        <v>1.4209457470385785</v>
      </c>
      <c r="I144" s="8">
        <v>0.23406158923836376</v>
      </c>
      <c r="J144" s="8">
        <v>0.90432998035499956</v>
      </c>
      <c r="K144" s="8">
        <v>1.2484515863303181</v>
      </c>
      <c r="L144" s="14">
        <v>6.1231836492484737</v>
      </c>
      <c r="AC144" s="7"/>
    </row>
    <row r="145" spans="1:29">
      <c r="A145" s="7"/>
      <c r="C145" s="1" t="s">
        <v>18</v>
      </c>
      <c r="D145" s="8">
        <v>2.1313707790583654</v>
      </c>
      <c r="E145" s="8">
        <v>7.3930152572176847E-2</v>
      </c>
      <c r="F145" s="8">
        <v>0.41995514280541324</v>
      </c>
      <c r="G145" s="8">
        <v>0.28569107656754789</v>
      </c>
      <c r="H145" s="8">
        <v>1.2969000507753594E-2</v>
      </c>
      <c r="I145" s="8">
        <v>0.37348011684039706</v>
      </c>
      <c r="J145" s="8">
        <v>1.2484515863303203</v>
      </c>
      <c r="K145" s="8">
        <v>4.4286658284231457</v>
      </c>
      <c r="L145" s="14">
        <v>8.9745136831051191</v>
      </c>
      <c r="AC145" s="7"/>
    </row>
    <row r="146" spans="1:29">
      <c r="A146" s="7"/>
      <c r="C146" s="1" t="s">
        <v>19</v>
      </c>
      <c r="D146" s="8">
        <v>0.65706747168158253</v>
      </c>
      <c r="E146" s="8">
        <v>1.0390001865267262</v>
      </c>
      <c r="F146" s="8">
        <v>0.40000382313866994</v>
      </c>
      <c r="G146" s="8">
        <v>0.4582881530810497</v>
      </c>
      <c r="H146" s="8">
        <v>5.0522044143771434E-2</v>
      </c>
      <c r="I146" s="8">
        <v>7.1313640390010563E-2</v>
      </c>
      <c r="J146" s="8">
        <v>4.5163805503494796E-2</v>
      </c>
      <c r="K146" s="8">
        <v>1.1204131451963955</v>
      </c>
      <c r="L146" s="14">
        <v>3.8417722696617003</v>
      </c>
      <c r="AC146" s="7"/>
    </row>
    <row r="147" spans="1:29">
      <c r="A147" s="7"/>
      <c r="C147" s="1" t="s">
        <v>20</v>
      </c>
      <c r="D147" s="8">
        <v>1.4600642037588158</v>
      </c>
      <c r="E147" s="8">
        <v>0.28569107656754705</v>
      </c>
      <c r="F147" s="8">
        <v>4.8518809743056295</v>
      </c>
      <c r="G147" s="8">
        <v>5.0176987199052547</v>
      </c>
      <c r="H147" s="8">
        <v>0.92837170705920635</v>
      </c>
      <c r="I147" s="8">
        <v>1.5081251535211196E-4</v>
      </c>
      <c r="J147" s="8">
        <v>3.6958599662909073</v>
      </c>
      <c r="K147" s="8">
        <v>2.8528096558282727</v>
      </c>
      <c r="L147" s="14">
        <v>19.09252711623099</v>
      </c>
      <c r="N147">
        <v>0.77195388767819739</v>
      </c>
      <c r="AC147" s="7"/>
    </row>
    <row r="148" spans="1:29">
      <c r="A148" s="7"/>
      <c r="B148" s="7"/>
      <c r="C148" s="7"/>
      <c r="D148" s="14">
        <v>5.5110211843271131</v>
      </c>
      <c r="E148" s="14">
        <v>5.6229164989508886</v>
      </c>
      <c r="F148" s="14">
        <v>10.096308918778336</v>
      </c>
      <c r="G148" s="14">
        <v>7.8036163082539831</v>
      </c>
      <c r="H148" s="14">
        <v>6.2446672817138387</v>
      </c>
      <c r="I148" s="14">
        <v>2.6998741239171435</v>
      </c>
      <c r="J148" s="14">
        <v>9.3465376811873817</v>
      </c>
      <c r="K148" s="14">
        <v>13.001144428559497</v>
      </c>
      <c r="L148" s="15">
        <v>60.326086425688182</v>
      </c>
      <c r="M148" t="s">
        <v>11</v>
      </c>
      <c r="N148" s="7">
        <v>0.22804611232180261</v>
      </c>
      <c r="O148" s="7" t="s">
        <v>61</v>
      </c>
      <c r="P148" s="7"/>
      <c r="Q148" s="7"/>
      <c r="R148" s="7"/>
      <c r="S148" s="7"/>
      <c r="T148" s="7"/>
      <c r="U148" s="7"/>
      <c r="V148" s="7"/>
      <c r="W148" s="7"/>
      <c r="X148" s="7"/>
      <c r="Y148" s="7"/>
      <c r="Z148" s="7"/>
      <c r="AA148" s="7"/>
      <c r="AB148" s="7"/>
      <c r="AC148" s="7"/>
    </row>
  </sheetData>
  <pageMargins left="0.7" right="0.7" top="0.75" bottom="0.75" header="0.3" footer="0.3"/>
  <pageSetup orientation="portrait" horizontalDpi="4294967292" verticalDpi="4294967292"/>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48"/>
  <sheetViews>
    <sheetView workbookViewId="0">
      <selection activeCell="L2" sqref="L2"/>
    </sheetView>
  </sheetViews>
  <sheetFormatPr baseColWidth="10" defaultRowHeight="14" x14ac:dyDescent="0"/>
  <sheetData>
    <row r="1" spans="1:29" ht="18">
      <c r="A1" s="26" t="s">
        <v>0</v>
      </c>
      <c r="B1" s="26" t="s">
        <v>1</v>
      </c>
      <c r="C1" s="26" t="s">
        <v>2</v>
      </c>
      <c r="D1" s="26" t="s">
        <v>3</v>
      </c>
      <c r="E1" s="26">
        <v>0</v>
      </c>
      <c r="F1" s="26">
        <v>0</v>
      </c>
      <c r="G1" s="26">
        <v>0</v>
      </c>
      <c r="H1" s="26">
        <v>0</v>
      </c>
      <c r="I1" s="26">
        <v>0</v>
      </c>
      <c r="J1" s="26">
        <v>0</v>
      </c>
      <c r="K1" s="26" t="s">
        <v>10</v>
      </c>
      <c r="L1" s="27"/>
      <c r="M1" s="7"/>
      <c r="N1" s="7"/>
      <c r="O1" s="7" t="s">
        <v>96</v>
      </c>
      <c r="P1" s="7" t="s">
        <v>97</v>
      </c>
      <c r="Q1" s="7"/>
      <c r="R1" s="7"/>
      <c r="S1" s="7"/>
      <c r="T1" s="7"/>
      <c r="U1" s="7"/>
      <c r="V1" s="7"/>
      <c r="W1" s="7"/>
      <c r="X1" s="7"/>
      <c r="Y1" s="7"/>
      <c r="Z1" s="7"/>
      <c r="AA1" s="7"/>
      <c r="AB1" s="7"/>
      <c r="AC1" s="7"/>
    </row>
    <row r="2" spans="1:29" ht="18">
      <c r="A2" s="28">
        <v>9.5492330730451269E-2</v>
      </c>
      <c r="B2" s="28">
        <v>0.10096948855947788</v>
      </c>
      <c r="C2" s="28">
        <v>0.10329577937308468</v>
      </c>
      <c r="D2" s="28">
        <v>1.0950679487213937E-3</v>
      </c>
      <c r="E2" s="28">
        <v>0</v>
      </c>
      <c r="F2" s="28">
        <v>0.15257010586155981</v>
      </c>
      <c r="G2" s="28">
        <v>0.14647557573624789</v>
      </c>
      <c r="H2" s="28">
        <v>0.15366677562086692</v>
      </c>
      <c r="I2" s="28">
        <v>0.14904144842066439</v>
      </c>
      <c r="J2" s="28">
        <v>0.39687547116500049</v>
      </c>
      <c r="K2" s="28">
        <v>2.7655064943532759E-4</v>
      </c>
      <c r="L2" s="29">
        <v>1.0000009954024962</v>
      </c>
      <c r="N2" t="s">
        <v>36</v>
      </c>
      <c r="O2" s="4">
        <v>0.66159999999999997</v>
      </c>
      <c r="P2" s="4">
        <v>0.66410000000000002</v>
      </c>
      <c r="Y2" t="s">
        <v>85</v>
      </c>
      <c r="AC2" s="7"/>
    </row>
    <row r="3" spans="1:29" ht="18">
      <c r="A3" s="30" t="s">
        <v>102</v>
      </c>
      <c r="B3" s="31">
        <v>65.714869350536858</v>
      </c>
      <c r="C3" s="32" t="s">
        <v>12</v>
      </c>
      <c r="D3" s="29" t="s">
        <v>13</v>
      </c>
      <c r="E3" s="29" t="s">
        <v>14</v>
      </c>
      <c r="F3" s="29" t="s">
        <v>15</v>
      </c>
      <c r="G3" s="29" t="s">
        <v>16</v>
      </c>
      <c r="H3" s="29" t="s">
        <v>17</v>
      </c>
      <c r="I3" s="29" t="s">
        <v>18</v>
      </c>
      <c r="J3" s="29" t="s">
        <v>19</v>
      </c>
      <c r="K3" s="29" t="s">
        <v>20</v>
      </c>
      <c r="L3" s="29" t="s">
        <v>98</v>
      </c>
      <c r="N3" t="s">
        <v>37</v>
      </c>
      <c r="O3" s="4">
        <v>0.65780000000000005</v>
      </c>
      <c r="P3" s="4">
        <v>0.65549999999999997</v>
      </c>
      <c r="Q3" t="s">
        <v>55</v>
      </c>
      <c r="Y3" s="1" t="s">
        <v>12</v>
      </c>
      <c r="Z3" t="s">
        <v>47</v>
      </c>
      <c r="AA3" t="s">
        <v>48</v>
      </c>
      <c r="AB3" t="s">
        <v>49</v>
      </c>
      <c r="AC3" s="7"/>
    </row>
    <row r="4" spans="1:29" ht="18">
      <c r="A4" s="30" t="s">
        <v>21</v>
      </c>
      <c r="B4" s="33">
        <v>0.15278139776879002</v>
      </c>
      <c r="C4" s="29" t="s">
        <v>13</v>
      </c>
      <c r="D4" s="34">
        <v>24</v>
      </c>
      <c r="E4" s="34">
        <v>7</v>
      </c>
      <c r="F4" s="34">
        <v>103</v>
      </c>
      <c r="G4" s="34">
        <v>27</v>
      </c>
      <c r="H4" s="34">
        <v>78</v>
      </c>
      <c r="I4" s="34">
        <v>23</v>
      </c>
      <c r="J4" s="34">
        <v>54</v>
      </c>
      <c r="K4" s="34">
        <v>7</v>
      </c>
      <c r="L4" s="29">
        <v>323</v>
      </c>
      <c r="N4" t="s">
        <v>38</v>
      </c>
      <c r="O4" s="4">
        <v>0.33739999999999998</v>
      </c>
      <c r="P4" s="4">
        <v>0.33789999999999998</v>
      </c>
      <c r="Q4" t="s">
        <v>56</v>
      </c>
      <c r="T4" t="s">
        <v>44</v>
      </c>
      <c r="V4" t="s">
        <v>57</v>
      </c>
      <c r="Y4" s="1" t="s">
        <v>13</v>
      </c>
      <c r="Z4">
        <v>323</v>
      </c>
      <c r="AA4">
        <v>24</v>
      </c>
      <c r="AB4">
        <v>299</v>
      </c>
      <c r="AC4" s="7"/>
    </row>
    <row r="5" spans="1:29" ht="18">
      <c r="A5" s="30"/>
      <c r="B5" s="30"/>
      <c r="C5" s="29" t="s">
        <v>14</v>
      </c>
      <c r="D5" s="34">
        <v>6</v>
      </c>
      <c r="E5" s="34">
        <v>16</v>
      </c>
      <c r="F5" s="34">
        <v>17</v>
      </c>
      <c r="G5" s="34">
        <v>75</v>
      </c>
      <c r="H5" s="34">
        <v>27</v>
      </c>
      <c r="I5" s="34">
        <v>86</v>
      </c>
      <c r="J5" s="34">
        <v>10</v>
      </c>
      <c r="K5" s="34">
        <v>15</v>
      </c>
      <c r="L5" s="29">
        <v>252</v>
      </c>
      <c r="M5" s="10" t="s">
        <v>39</v>
      </c>
      <c r="N5" s="10">
        <v>1</v>
      </c>
      <c r="O5" s="10">
        <v>2</v>
      </c>
      <c r="P5" s="10" t="s">
        <v>39</v>
      </c>
      <c r="Q5" s="10">
        <v>1</v>
      </c>
      <c r="R5" s="10">
        <v>2</v>
      </c>
      <c r="S5" s="10" t="s">
        <v>39</v>
      </c>
      <c r="T5" s="10">
        <v>1</v>
      </c>
      <c r="U5" s="10">
        <v>2</v>
      </c>
      <c r="V5" s="10" t="s">
        <v>11</v>
      </c>
      <c r="W5" t="s">
        <v>42</v>
      </c>
      <c r="X5" t="s">
        <v>43</v>
      </c>
      <c r="Y5" s="1" t="s">
        <v>14</v>
      </c>
      <c r="Z5">
        <v>252</v>
      </c>
      <c r="AA5">
        <v>16</v>
      </c>
      <c r="AB5">
        <v>236</v>
      </c>
      <c r="AC5" s="7"/>
    </row>
    <row r="6" spans="1:29" ht="18">
      <c r="A6" s="30" t="s">
        <v>22</v>
      </c>
      <c r="B6" s="35">
        <v>9.5492330730451269E-2</v>
      </c>
      <c r="C6" s="29" t="s">
        <v>15</v>
      </c>
      <c r="D6" s="34">
        <v>96</v>
      </c>
      <c r="E6" s="34">
        <v>18</v>
      </c>
      <c r="F6" s="34">
        <v>857</v>
      </c>
      <c r="G6" s="34">
        <v>173</v>
      </c>
      <c r="H6" s="34">
        <v>51</v>
      </c>
      <c r="I6" s="34">
        <v>12</v>
      </c>
      <c r="J6" s="34">
        <v>282</v>
      </c>
      <c r="K6" s="34">
        <v>40</v>
      </c>
      <c r="L6" s="29">
        <v>1529</v>
      </c>
      <c r="M6" s="10">
        <v>1</v>
      </c>
      <c r="N6">
        <v>2513</v>
      </c>
      <c r="O6">
        <v>871</v>
      </c>
      <c r="P6" s="10">
        <v>1</v>
      </c>
      <c r="Q6">
        <v>1136.6856</v>
      </c>
      <c r="R6">
        <v>2247.3144000000002</v>
      </c>
      <c r="S6" s="10">
        <v>1</v>
      </c>
      <c r="T6">
        <v>1666.4602134903091</v>
      </c>
      <c r="U6">
        <v>842.89110933804386</v>
      </c>
      <c r="V6" s="23">
        <v>3792.8526644926737</v>
      </c>
      <c r="W6">
        <v>1</v>
      </c>
      <c r="X6" s="23">
        <v>0</v>
      </c>
      <c r="Y6" s="1" t="s">
        <v>15</v>
      </c>
      <c r="Z6">
        <v>1529</v>
      </c>
      <c r="AA6">
        <v>857</v>
      </c>
      <c r="AB6">
        <v>672</v>
      </c>
      <c r="AC6" s="7"/>
    </row>
    <row r="7" spans="1:29" ht="18">
      <c r="A7" s="30" t="s">
        <v>23</v>
      </c>
      <c r="B7" s="35">
        <v>0.10096948855947788</v>
      </c>
      <c r="C7" s="29" t="s">
        <v>16</v>
      </c>
      <c r="D7" s="34">
        <v>18</v>
      </c>
      <c r="E7" s="34">
        <v>84</v>
      </c>
      <c r="F7" s="34">
        <v>174</v>
      </c>
      <c r="G7" s="34">
        <v>818</v>
      </c>
      <c r="H7" s="34">
        <v>14</v>
      </c>
      <c r="I7" s="34">
        <v>24</v>
      </c>
      <c r="J7" s="34">
        <v>52</v>
      </c>
      <c r="K7" s="34">
        <v>96</v>
      </c>
      <c r="L7" s="29">
        <v>1280</v>
      </c>
      <c r="M7" s="10">
        <v>2</v>
      </c>
      <c r="N7">
        <v>846</v>
      </c>
      <c r="O7">
        <v>5770</v>
      </c>
      <c r="P7" s="10">
        <v>2</v>
      </c>
      <c r="Q7">
        <v>2222.3144000000002</v>
      </c>
      <c r="R7">
        <v>4393.6855999999998</v>
      </c>
      <c r="S7" s="10">
        <v>2</v>
      </c>
      <c r="T7">
        <v>852.37324099927548</v>
      </c>
      <c r="U7">
        <v>431.12810066504545</v>
      </c>
      <c r="Y7" s="1" t="s">
        <v>16</v>
      </c>
      <c r="Z7">
        <v>1280</v>
      </c>
      <c r="AA7">
        <v>818</v>
      </c>
      <c r="AB7">
        <v>462</v>
      </c>
      <c r="AC7" s="7"/>
    </row>
    <row r="8" spans="1:29" ht="18">
      <c r="A8" s="30" t="s">
        <v>24</v>
      </c>
      <c r="B8" s="35">
        <v>0.10329577937308468</v>
      </c>
      <c r="C8" s="29" t="s">
        <v>17</v>
      </c>
      <c r="D8" s="34">
        <v>86</v>
      </c>
      <c r="E8" s="34">
        <v>14</v>
      </c>
      <c r="F8" s="34">
        <v>44</v>
      </c>
      <c r="G8" s="34">
        <v>7</v>
      </c>
      <c r="H8" s="34">
        <v>865</v>
      </c>
      <c r="I8" s="34">
        <v>215</v>
      </c>
      <c r="J8" s="34">
        <v>337</v>
      </c>
      <c r="K8" s="34">
        <v>50</v>
      </c>
      <c r="L8" s="29">
        <v>1618</v>
      </c>
      <c r="M8" s="10" t="s">
        <v>40</v>
      </c>
      <c r="N8">
        <v>1</v>
      </c>
      <c r="O8">
        <v>2</v>
      </c>
      <c r="P8" s="10" t="s">
        <v>40</v>
      </c>
      <c r="S8" s="10" t="s">
        <v>40</v>
      </c>
      <c r="Y8" s="1" t="s">
        <v>17</v>
      </c>
      <c r="Z8">
        <v>1618</v>
      </c>
      <c r="AA8">
        <v>865</v>
      </c>
      <c r="AB8">
        <v>753</v>
      </c>
      <c r="AC8" s="7"/>
    </row>
    <row r="9" spans="1:29" ht="18">
      <c r="A9" s="30"/>
      <c r="B9" s="30"/>
      <c r="C9" s="29" t="s">
        <v>18</v>
      </c>
      <c r="D9" s="34">
        <v>24</v>
      </c>
      <c r="E9" s="34">
        <v>82</v>
      </c>
      <c r="F9" s="34">
        <v>10</v>
      </c>
      <c r="G9" s="34">
        <v>14</v>
      </c>
      <c r="H9" s="34">
        <v>153</v>
      </c>
      <c r="I9" s="34">
        <v>824</v>
      </c>
      <c r="J9" s="34">
        <v>41</v>
      </c>
      <c r="K9" s="34">
        <v>81</v>
      </c>
      <c r="L9" s="29">
        <v>1229</v>
      </c>
      <c r="M9" s="10">
        <v>1</v>
      </c>
      <c r="N9">
        <v>2530</v>
      </c>
      <c r="O9">
        <v>892</v>
      </c>
      <c r="P9" s="10">
        <v>1</v>
      </c>
      <c r="Q9">
        <v>1178.8789999999999</v>
      </c>
      <c r="R9">
        <v>2243.1210000000001</v>
      </c>
      <c r="S9" s="10">
        <v>1</v>
      </c>
      <c r="T9">
        <v>1548.5286926317292</v>
      </c>
      <c r="U9">
        <v>813.83392007876535</v>
      </c>
      <c r="V9" s="23">
        <v>3591.3083197179908</v>
      </c>
      <c r="W9">
        <v>1</v>
      </c>
      <c r="X9" s="23">
        <v>0</v>
      </c>
      <c r="Y9" s="1" t="s">
        <v>18</v>
      </c>
      <c r="Z9">
        <v>1229</v>
      </c>
      <c r="AA9">
        <v>824</v>
      </c>
      <c r="AB9">
        <v>405</v>
      </c>
      <c r="AC9" s="7"/>
    </row>
    <row r="10" spans="1:29" ht="18">
      <c r="A10" s="36"/>
      <c r="B10" s="30"/>
      <c r="C10" s="29" t="s">
        <v>19</v>
      </c>
      <c r="D10" s="34">
        <v>48</v>
      </c>
      <c r="E10" s="34">
        <v>5</v>
      </c>
      <c r="F10" s="34">
        <v>312</v>
      </c>
      <c r="G10" s="34">
        <v>44</v>
      </c>
      <c r="H10" s="34">
        <v>330</v>
      </c>
      <c r="I10" s="34">
        <v>55</v>
      </c>
      <c r="J10" s="34">
        <v>2138</v>
      </c>
      <c r="K10" s="34">
        <v>224</v>
      </c>
      <c r="L10" s="29">
        <v>3156</v>
      </c>
      <c r="M10" s="10">
        <v>2</v>
      </c>
      <c r="N10">
        <v>915</v>
      </c>
      <c r="O10">
        <v>5663</v>
      </c>
      <c r="P10" s="10">
        <v>2</v>
      </c>
      <c r="Q10">
        <v>2266.1210000000001</v>
      </c>
      <c r="R10">
        <v>4311.8789999999999</v>
      </c>
      <c r="S10" s="10">
        <v>2</v>
      </c>
      <c r="T10">
        <v>805.57391094341392</v>
      </c>
      <c r="U10">
        <v>423.37179606408256</v>
      </c>
      <c r="Y10" s="1" t="s">
        <v>19</v>
      </c>
      <c r="Z10">
        <v>3156</v>
      </c>
      <c r="AA10">
        <v>2138</v>
      </c>
      <c r="AB10">
        <v>1018</v>
      </c>
      <c r="AC10" s="7"/>
    </row>
    <row r="11" spans="1:29" ht="18">
      <c r="A11" s="36">
        <v>0</v>
      </c>
      <c r="B11" s="36">
        <v>0</v>
      </c>
      <c r="C11" s="29" t="s">
        <v>20</v>
      </c>
      <c r="D11" s="34">
        <v>4</v>
      </c>
      <c r="E11" s="34">
        <v>13</v>
      </c>
      <c r="F11" s="34">
        <v>51</v>
      </c>
      <c r="G11" s="34">
        <v>88</v>
      </c>
      <c r="H11" s="34">
        <v>50</v>
      </c>
      <c r="I11" s="34">
        <v>93</v>
      </c>
      <c r="J11" s="34">
        <v>265</v>
      </c>
      <c r="K11" s="34">
        <v>49</v>
      </c>
      <c r="L11" s="29">
        <v>613</v>
      </c>
      <c r="M11" s="10" t="s">
        <v>41</v>
      </c>
      <c r="N11">
        <v>1</v>
      </c>
      <c r="O11">
        <v>2</v>
      </c>
      <c r="P11" s="10" t="s">
        <v>41</v>
      </c>
      <c r="S11" s="10" t="s">
        <v>41</v>
      </c>
      <c r="Y11" s="1" t="s">
        <v>20</v>
      </c>
      <c r="Z11">
        <v>613</v>
      </c>
      <c r="AA11">
        <v>49</v>
      </c>
      <c r="AB11">
        <v>564</v>
      </c>
      <c r="AC11" s="7"/>
    </row>
    <row r="12" spans="1:29" ht="18">
      <c r="A12" s="6"/>
      <c r="B12" s="6"/>
      <c r="C12" s="29" t="s">
        <v>98</v>
      </c>
      <c r="D12" s="29">
        <v>306</v>
      </c>
      <c r="E12" s="29">
        <v>239</v>
      </c>
      <c r="F12" s="29">
        <v>1568</v>
      </c>
      <c r="G12" s="29">
        <v>1246</v>
      </c>
      <c r="H12" s="29">
        <v>1568</v>
      </c>
      <c r="I12" s="29">
        <v>1332</v>
      </c>
      <c r="J12" s="29">
        <v>3179</v>
      </c>
      <c r="K12" s="29">
        <v>562</v>
      </c>
      <c r="L12" s="29">
        <v>10000</v>
      </c>
      <c r="M12" s="10">
        <v>1</v>
      </c>
      <c r="N12">
        <v>5705</v>
      </c>
      <c r="O12">
        <v>921</v>
      </c>
      <c r="P12" s="10">
        <v>1</v>
      </c>
      <c r="Q12">
        <v>4387.0745999999999</v>
      </c>
      <c r="R12">
        <v>2238.9254000000001</v>
      </c>
      <c r="S12" s="10">
        <v>1</v>
      </c>
      <c r="T12">
        <v>395.91926701341259</v>
      </c>
      <c r="U12">
        <v>775.78616954596168</v>
      </c>
      <c r="V12" s="23">
        <v>3472.7487746276656</v>
      </c>
      <c r="W12">
        <v>1</v>
      </c>
      <c r="X12" s="23">
        <v>0</v>
      </c>
      <c r="Y12" s="1" t="s">
        <v>46</v>
      </c>
      <c r="Z12" s="7">
        <v>10000</v>
      </c>
      <c r="AA12" s="7">
        <v>5591</v>
      </c>
      <c r="AB12" s="7">
        <v>4409</v>
      </c>
      <c r="AC12" s="7"/>
    </row>
    <row r="13" spans="1:29">
      <c r="A13" s="7"/>
      <c r="C13" s="1" t="s">
        <v>25</v>
      </c>
      <c r="D13" s="4">
        <v>7.9850376187258834E-4</v>
      </c>
      <c r="E13" s="4">
        <v>9.1983584461443832E-5</v>
      </c>
      <c r="F13" s="4">
        <v>8.96793995566504E-5</v>
      </c>
      <c r="G13" s="4">
        <v>1.0330612099091102E-5</v>
      </c>
      <c r="H13" s="4">
        <v>8.4301093190093722E-5</v>
      </c>
      <c r="I13" s="4">
        <v>9.7110584769922921E-6</v>
      </c>
      <c r="J13" s="4">
        <v>9.4677968723998867E-6</v>
      </c>
      <c r="K13" s="4">
        <v>1.0906421921342799E-6</v>
      </c>
      <c r="M13" s="10">
        <v>2</v>
      </c>
      <c r="N13">
        <v>916</v>
      </c>
      <c r="O13">
        <v>2458</v>
      </c>
      <c r="P13" s="10">
        <v>2</v>
      </c>
      <c r="Q13">
        <v>2233.9254000000001</v>
      </c>
      <c r="R13">
        <v>1140.0745999999999</v>
      </c>
      <c r="S13" s="10">
        <v>2</v>
      </c>
      <c r="T13">
        <v>777.52254393327553</v>
      </c>
      <c r="U13">
        <v>1523.5207941350156</v>
      </c>
      <c r="AC13" s="7"/>
    </row>
    <row r="14" spans="1:29">
      <c r="A14" s="7"/>
      <c r="C14" s="1"/>
      <c r="D14" s="1" t="s">
        <v>13</v>
      </c>
      <c r="E14" s="1" t="s">
        <v>14</v>
      </c>
      <c r="F14" s="1" t="s">
        <v>15</v>
      </c>
      <c r="G14" s="1" t="s">
        <v>16</v>
      </c>
      <c r="H14" s="1" t="s">
        <v>17</v>
      </c>
      <c r="I14" s="1" t="s">
        <v>18</v>
      </c>
      <c r="J14" s="1" t="s">
        <v>19</v>
      </c>
      <c r="K14" s="1" t="s">
        <v>20</v>
      </c>
      <c r="L14" s="1"/>
      <c r="V14" s="7"/>
      <c r="W14" s="7"/>
      <c r="X14" s="7"/>
      <c r="Y14" s="7"/>
      <c r="Z14" s="7"/>
      <c r="AA14" s="7"/>
      <c r="AB14" s="7"/>
      <c r="AC14" s="7"/>
    </row>
    <row r="15" spans="1:29">
      <c r="A15" s="7"/>
      <c r="B15" s="4">
        <v>0.72918193140884535</v>
      </c>
      <c r="C15" s="1" t="s">
        <v>13</v>
      </c>
      <c r="D15" s="4">
        <v>5.8225451531948266E-4</v>
      </c>
      <c r="E15" s="4">
        <v>6.7072767775504263E-5</v>
      </c>
      <c r="F15" s="4">
        <v>6.5392597776303893E-5</v>
      </c>
      <c r="G15" s="4">
        <v>7.5328956830508356E-6</v>
      </c>
      <c r="H15" s="4">
        <v>6.1470833952229599E-5</v>
      </c>
      <c r="I15" s="4">
        <v>7.0811283762774798E-6</v>
      </c>
      <c r="J15" s="4">
        <v>6.9037464096031745E-6</v>
      </c>
      <c r="K15" s="4">
        <v>7.9527658013645118E-7</v>
      </c>
      <c r="AC15" s="7"/>
    </row>
    <row r="16" spans="1:29">
      <c r="A16" s="7"/>
      <c r="B16" s="4">
        <v>8.399806109643175E-2</v>
      </c>
      <c r="C16" s="1" t="s">
        <v>14</v>
      </c>
      <c r="D16" s="4">
        <v>6.7072767775504263E-5</v>
      </c>
      <c r="E16" s="4">
        <v>7.7264427474611489E-6</v>
      </c>
      <c r="F16" s="4">
        <v>7.5328956830508347E-6</v>
      </c>
      <c r="G16" s="4">
        <v>8.6775138626299137E-7</v>
      </c>
      <c r="H16" s="4">
        <v>7.081128376277479E-6</v>
      </c>
      <c r="I16" s="4">
        <v>8.1571008326142002E-7</v>
      </c>
      <c r="J16" s="4">
        <v>7.9527658013645107E-7</v>
      </c>
      <c r="K16" s="4">
        <v>9.1611829489241494E-8</v>
      </c>
      <c r="N16" t="s">
        <v>99</v>
      </c>
      <c r="O16" s="8"/>
      <c r="Q16" s="4">
        <v>0.65679999999999983</v>
      </c>
      <c r="R16" s="4">
        <v>0.34320000000000001</v>
      </c>
      <c r="S16" t="b">
        <v>1</v>
      </c>
      <c r="U16">
        <v>98010000</v>
      </c>
      <c r="AC16" s="7"/>
    </row>
    <row r="17" spans="1:29">
      <c r="A17" s="7"/>
      <c r="B17" s="4">
        <v>8.1893913214573094E-2</v>
      </c>
      <c r="C17" s="1" t="s">
        <v>15</v>
      </c>
      <c r="D17" s="4">
        <v>6.5392597776303893E-5</v>
      </c>
      <c r="E17" s="4">
        <v>7.5328956830508356E-6</v>
      </c>
      <c r="F17" s="4">
        <v>7.344196964427353E-6</v>
      </c>
      <c r="G17" s="4">
        <v>8.4601425069638544E-7</v>
      </c>
      <c r="H17" s="4">
        <v>6.9037464096031745E-6</v>
      </c>
      <c r="I17" s="4">
        <v>7.9527658013645118E-7</v>
      </c>
      <c r="J17" s="4">
        <v>7.7535493540152287E-7</v>
      </c>
      <c r="K17" s="4">
        <v>8.9316957030796471E-8</v>
      </c>
      <c r="T17" t="s">
        <v>100</v>
      </c>
      <c r="V17" t="s">
        <v>101</v>
      </c>
      <c r="AC17" s="7"/>
    </row>
    <row r="18" spans="1:29">
      <c r="A18" s="7"/>
      <c r="B18" s="4">
        <v>9.4337635496986021E-3</v>
      </c>
      <c r="C18" s="1" t="s">
        <v>16</v>
      </c>
      <c r="D18" s="4">
        <v>7.5328956830508364E-6</v>
      </c>
      <c r="E18" s="4">
        <v>8.6775138626299158E-7</v>
      </c>
      <c r="F18" s="4">
        <v>8.4601425069638554E-7</v>
      </c>
      <c r="G18" s="4">
        <v>9.7456551866480992E-8</v>
      </c>
      <c r="H18" s="4">
        <v>7.9527658013645118E-7</v>
      </c>
      <c r="I18" s="4">
        <v>9.1611829489241507E-8</v>
      </c>
      <c r="J18" s="4">
        <v>8.9316957030796485E-8</v>
      </c>
      <c r="K18" s="4">
        <v>1.028886055791975E-8</v>
      </c>
      <c r="T18" t="s">
        <v>36</v>
      </c>
      <c r="U18">
        <v>0.66169009951497704</v>
      </c>
      <c r="V18">
        <v>0.66</v>
      </c>
      <c r="AC18" s="7"/>
    </row>
    <row r="19" spans="1:29">
      <c r="A19" s="7"/>
      <c r="B19" s="4">
        <v>7.6982522672245188E-2</v>
      </c>
      <c r="C19" s="1" t="s">
        <v>17</v>
      </c>
      <c r="D19" s="4">
        <v>6.1470833952229599E-5</v>
      </c>
      <c r="E19" s="4">
        <v>7.0811283762774798E-6</v>
      </c>
      <c r="F19" s="4">
        <v>6.9037464096031745E-6</v>
      </c>
      <c r="G19" s="4">
        <v>7.9527658013645118E-7</v>
      </c>
      <c r="H19" s="4">
        <v>6.4897108178014444E-6</v>
      </c>
      <c r="I19" s="4">
        <v>7.4758177937655794E-7</v>
      </c>
      <c r="J19" s="4">
        <v>7.2885488738573633E-7</v>
      </c>
      <c r="K19" s="4">
        <v>8.3960387283284392E-8</v>
      </c>
      <c r="T19" t="s">
        <v>37</v>
      </c>
      <c r="U19">
        <v>0.65657784037736799</v>
      </c>
      <c r="V19">
        <v>0.66</v>
      </c>
      <c r="AC19" s="7"/>
    </row>
    <row r="20" spans="1:29">
      <c r="A20" s="7"/>
      <c r="B20" s="4">
        <v>8.8679962629999061E-3</v>
      </c>
      <c r="C20" s="1" t="s">
        <v>18</v>
      </c>
      <c r="D20" s="4">
        <v>7.0811283762774807E-6</v>
      </c>
      <c r="E20" s="4">
        <v>8.1571008326142012E-7</v>
      </c>
      <c r="F20" s="4">
        <v>7.9527658013645118E-7</v>
      </c>
      <c r="G20" s="4">
        <v>9.1611829489241507E-8</v>
      </c>
      <c r="H20" s="4">
        <v>7.4758177937655794E-7</v>
      </c>
      <c r="I20" s="4">
        <v>8.6117630283741199E-8</v>
      </c>
      <c r="J20" s="4">
        <v>8.3960387283284392E-8</v>
      </c>
      <c r="K20" s="4">
        <v>9.6718108841168201E-9</v>
      </c>
      <c r="T20" t="s">
        <v>38</v>
      </c>
      <c r="U20">
        <v>0.33798100131396402</v>
      </c>
      <c r="V20">
        <v>0.33</v>
      </c>
      <c r="W20" s="37">
        <v>7.8263994826793798E-5</v>
      </c>
      <c r="AC20" s="7"/>
    </row>
    <row r="21" spans="1:29">
      <c r="A21" s="7"/>
      <c r="B21" s="4">
        <v>8.6458533312517554E-3</v>
      </c>
      <c r="C21" s="1" t="s">
        <v>19</v>
      </c>
      <c r="D21" s="4">
        <v>6.9037464096031762E-6</v>
      </c>
      <c r="E21" s="4">
        <v>7.9527658013645139E-7</v>
      </c>
      <c r="F21" s="4">
        <v>7.7535493540152308E-7</v>
      </c>
      <c r="G21" s="4">
        <v>8.9316957030796485E-8</v>
      </c>
      <c r="H21" s="4">
        <v>7.2885488738573643E-7</v>
      </c>
      <c r="I21" s="4">
        <v>8.3960387283284405E-8</v>
      </c>
      <c r="J21" s="4">
        <v>8.1857183128853516E-8</v>
      </c>
      <c r="K21" s="4">
        <v>9.4295324300678802E-9</v>
      </c>
      <c r="M21" t="s">
        <v>62</v>
      </c>
      <c r="AC21" s="7"/>
    </row>
    <row r="22" spans="1:29">
      <c r="A22" s="7"/>
      <c r="B22" s="4">
        <v>9.9595846395442275E-4</v>
      </c>
      <c r="C22" s="1" t="s">
        <v>20</v>
      </c>
      <c r="D22" s="4">
        <v>7.9527658013645128E-7</v>
      </c>
      <c r="E22" s="4">
        <v>9.1611829489241507E-8</v>
      </c>
      <c r="F22" s="4">
        <v>8.9316957030796471E-8</v>
      </c>
      <c r="G22" s="4">
        <v>1.0288860557919748E-8</v>
      </c>
      <c r="H22" s="4">
        <v>8.3960387283284392E-8</v>
      </c>
      <c r="I22" s="4">
        <v>9.6718108841168185E-9</v>
      </c>
      <c r="J22" s="4">
        <v>9.4295324300678785E-9</v>
      </c>
      <c r="K22" s="4">
        <v>1.0862343224019417E-9</v>
      </c>
      <c r="AC22" s="7"/>
    </row>
    <row r="23" spans="1:29">
      <c r="A23" s="7"/>
      <c r="AC23" s="7"/>
    </row>
    <row r="24" spans="1:29">
      <c r="A24" s="7"/>
      <c r="C24" s="1" t="s">
        <v>26</v>
      </c>
      <c r="D24" s="4">
        <v>0</v>
      </c>
      <c r="E24" s="4">
        <v>0</v>
      </c>
      <c r="F24" s="4">
        <v>0</v>
      </c>
      <c r="G24" s="4">
        <v>0</v>
      </c>
      <c r="H24" s="4">
        <v>0</v>
      </c>
      <c r="I24" s="4">
        <v>0</v>
      </c>
      <c r="J24" s="4">
        <v>0</v>
      </c>
      <c r="K24" s="4">
        <v>0</v>
      </c>
      <c r="O24">
        <v>7.6616589855E-2</v>
      </c>
      <c r="P24">
        <v>3.9100960144999995E-2</v>
      </c>
      <c r="Q24">
        <v>0.14578280014499997</v>
      </c>
      <c r="R24">
        <v>7.4399649854999986E-2</v>
      </c>
      <c r="S24">
        <v>0.15147686014500003</v>
      </c>
      <c r="T24">
        <v>7.7305589855000009E-2</v>
      </c>
      <c r="U24">
        <v>0.28822374985499999</v>
      </c>
      <c r="V24">
        <v>0.14709380014499998</v>
      </c>
      <c r="AC24" s="7"/>
    </row>
    <row r="25" spans="1:29">
      <c r="A25" s="7"/>
      <c r="C25" s="1"/>
      <c r="D25" s="1" t="s">
        <v>13</v>
      </c>
      <c r="E25" s="1" t="s">
        <v>14</v>
      </c>
      <c r="F25" s="1" t="s">
        <v>15</v>
      </c>
      <c r="G25" s="1" t="s">
        <v>16</v>
      </c>
      <c r="H25" s="1" t="s">
        <v>17</v>
      </c>
      <c r="I25" s="1" t="s">
        <v>18</v>
      </c>
      <c r="J25" s="1" t="s">
        <v>19</v>
      </c>
      <c r="K25" s="1" t="s">
        <v>20</v>
      </c>
      <c r="L25" s="1"/>
      <c r="N25" s="7"/>
      <c r="O25" s="1" t="s">
        <v>13</v>
      </c>
      <c r="P25" s="1" t="s">
        <v>14</v>
      </c>
      <c r="Q25" s="1" t="s">
        <v>15</v>
      </c>
      <c r="R25" s="1" t="s">
        <v>16</v>
      </c>
      <c r="S25" s="1" t="s">
        <v>17</v>
      </c>
      <c r="T25" s="1" t="s">
        <v>18</v>
      </c>
      <c r="U25" s="1" t="s">
        <v>19</v>
      </c>
      <c r="V25" s="1" t="s">
        <v>20</v>
      </c>
      <c r="AC25" s="7"/>
    </row>
    <row r="26" spans="1:29">
      <c r="A26" s="7"/>
      <c r="B26" s="4">
        <v>8.399806109643175E-2</v>
      </c>
      <c r="C26" s="1" t="s">
        <v>13</v>
      </c>
      <c r="D26" s="4">
        <v>0</v>
      </c>
      <c r="E26" s="4">
        <v>0</v>
      </c>
      <c r="F26" s="4">
        <v>0</v>
      </c>
      <c r="G26" s="4">
        <v>0</v>
      </c>
      <c r="H26" s="4">
        <v>0</v>
      </c>
      <c r="I26" s="4">
        <v>0</v>
      </c>
      <c r="J26" s="4">
        <v>0</v>
      </c>
      <c r="K26" s="4">
        <v>0</v>
      </c>
      <c r="M26" s="4">
        <v>7.6729398048000011E-2</v>
      </c>
      <c r="N26" s="1" t="s">
        <v>13</v>
      </c>
      <c r="O26">
        <v>5.8787448200646542E-3</v>
      </c>
      <c r="P26">
        <v>3.0001931350246889E-3</v>
      </c>
      <c r="Q26">
        <v>1.1185826500877736E-2</v>
      </c>
      <c r="R26">
        <v>5.7086403483561201E-3</v>
      </c>
      <c r="S26">
        <v>1.1622728297126936E-2</v>
      </c>
      <c r="T26">
        <v>5.9316113753197274E-3</v>
      </c>
      <c r="U26">
        <v>2.2115234829511481E-2</v>
      </c>
      <c r="V26">
        <v>1.1286418741718665E-2</v>
      </c>
      <c r="AC26" s="7"/>
    </row>
    <row r="27" spans="1:29">
      <c r="A27" s="7"/>
      <c r="B27" s="4">
        <v>0.72918193140884535</v>
      </c>
      <c r="C27" s="1" t="s">
        <v>14</v>
      </c>
      <c r="D27" s="4">
        <v>0</v>
      </c>
      <c r="E27" s="4">
        <v>0</v>
      </c>
      <c r="F27" s="4">
        <v>0</v>
      </c>
      <c r="G27" s="4">
        <v>0</v>
      </c>
      <c r="H27" s="4">
        <v>0</v>
      </c>
      <c r="I27" s="4">
        <v>0</v>
      </c>
      <c r="J27" s="4">
        <v>0</v>
      </c>
      <c r="K27" s="4">
        <v>0</v>
      </c>
      <c r="M27" s="4">
        <v>3.9071081951999993E-2</v>
      </c>
      <c r="N27" s="1" t="s">
        <v>14</v>
      </c>
      <c r="O27">
        <v>2.9934930611074761E-3</v>
      </c>
      <c r="P27">
        <v>1.5277168182271804E-3</v>
      </c>
      <c r="Q27">
        <v>5.6958917316573309E-3</v>
      </c>
      <c r="R27">
        <v>2.906874816684809E-3</v>
      </c>
      <c r="S27">
        <v>5.9183648165569381E-3</v>
      </c>
      <c r="T27">
        <v>3.0204130365724048E-3</v>
      </c>
      <c r="U27">
        <v>1.1261213751097451E-2</v>
      </c>
      <c r="V27">
        <v>5.7471139200964026E-3</v>
      </c>
      <c r="AC27" s="7"/>
    </row>
    <row r="28" spans="1:29">
      <c r="A28" s="7"/>
      <c r="B28" s="4">
        <v>9.4337635496986021E-3</v>
      </c>
      <c r="C28" s="1" t="s">
        <v>15</v>
      </c>
      <c r="D28" s="4">
        <v>0</v>
      </c>
      <c r="E28" s="4">
        <v>0</v>
      </c>
      <c r="F28" s="4">
        <v>0</v>
      </c>
      <c r="G28" s="4">
        <v>0</v>
      </c>
      <c r="H28" s="4">
        <v>0</v>
      </c>
      <c r="I28" s="4">
        <v>0</v>
      </c>
      <c r="J28" s="4">
        <v>0</v>
      </c>
      <c r="K28" s="4">
        <v>0</v>
      </c>
      <c r="M28" s="4">
        <v>0.14749444195200004</v>
      </c>
      <c r="N28" s="1" t="s">
        <v>15</v>
      </c>
      <c r="O28">
        <v>1.1300521164928492E-2</v>
      </c>
      <c r="P28">
        <v>5.767174296374169E-3</v>
      </c>
      <c r="Q28">
        <v>2.1502152753586721E-2</v>
      </c>
      <c r="R28">
        <v>1.0973534836787424E-2</v>
      </c>
      <c r="S28">
        <v>2.2341994955727935E-2</v>
      </c>
      <c r="T28">
        <v>1.1402144835433422E-2</v>
      </c>
      <c r="U28">
        <v>4.2511401142176074E-2</v>
      </c>
      <c r="V28">
        <v>2.1695517966985794E-2</v>
      </c>
      <c r="AC28" s="7"/>
    </row>
    <row r="29" spans="1:29">
      <c r="A29" s="7"/>
      <c r="B29" s="4">
        <v>8.1893913214573094E-2</v>
      </c>
      <c r="C29" s="1" t="s">
        <v>16</v>
      </c>
      <c r="D29" s="4">
        <v>0</v>
      </c>
      <c r="E29" s="4">
        <v>0</v>
      </c>
      <c r="F29" s="4">
        <v>0</v>
      </c>
      <c r="G29" s="4">
        <v>0</v>
      </c>
      <c r="H29" s="4">
        <v>0</v>
      </c>
      <c r="I29" s="4">
        <v>0</v>
      </c>
      <c r="J29" s="4">
        <v>0</v>
      </c>
      <c r="K29" s="4">
        <v>0</v>
      </c>
      <c r="M29" s="4">
        <v>7.5105078048000012E-2</v>
      </c>
      <c r="N29" s="1" t="s">
        <v>16</v>
      </c>
      <c r="O29">
        <v>5.7542949608313807E-3</v>
      </c>
      <c r="P29">
        <v>2.9366806634419625E-3</v>
      </c>
      <c r="Q29">
        <v>1.094902858294621E-2</v>
      </c>
      <c r="R29">
        <v>5.5877915091036463E-3</v>
      </c>
      <c r="S29">
        <v>1.137668140365621E-2</v>
      </c>
      <c r="T29">
        <v>5.806042359606454E-3</v>
      </c>
      <c r="U29">
        <v>2.1647067228147007E-2</v>
      </c>
      <c r="V29">
        <v>1.1047491340267139E-2</v>
      </c>
      <c r="AC29" s="7"/>
    </row>
    <row r="30" spans="1:29">
      <c r="A30" s="7"/>
      <c r="B30" s="4">
        <v>8.8679962629999061E-3</v>
      </c>
      <c r="C30" s="1" t="s">
        <v>17</v>
      </c>
      <c r="D30" s="4">
        <v>0</v>
      </c>
      <c r="E30" s="4">
        <v>0</v>
      </c>
      <c r="F30" s="4">
        <v>0</v>
      </c>
      <c r="G30" s="4">
        <v>0</v>
      </c>
      <c r="H30" s="4">
        <v>0</v>
      </c>
      <c r="I30" s="4">
        <v>0</v>
      </c>
      <c r="J30" s="4">
        <v>0</v>
      </c>
      <c r="K30" s="4">
        <v>0</v>
      </c>
      <c r="M30" s="4">
        <v>0.15001232195199998</v>
      </c>
      <c r="N30" s="1" t="s">
        <v>17</v>
      </c>
      <c r="O30">
        <v>1.1493432544192595E-2</v>
      </c>
      <c r="P30">
        <v>5.8656258219040589E-3</v>
      </c>
      <c r="Q30">
        <v>2.1869216350415804E-2</v>
      </c>
      <c r="R30">
        <v>1.1160864227164327E-2</v>
      </c>
      <c r="S30">
        <v>2.2723395512349819E-2</v>
      </c>
      <c r="T30">
        <v>1.1596791034017525E-2</v>
      </c>
      <c r="U30">
        <v>4.3237113957460965E-2</v>
      </c>
      <c r="V30">
        <v>2.2065882504494878E-2</v>
      </c>
      <c r="AC30" s="7"/>
    </row>
    <row r="31" spans="1:29">
      <c r="A31" s="7"/>
      <c r="B31" s="4">
        <v>7.6982522672245188E-2</v>
      </c>
      <c r="C31" s="1" t="s">
        <v>18</v>
      </c>
      <c r="D31" s="4">
        <v>0</v>
      </c>
      <c r="E31" s="4">
        <v>0</v>
      </c>
      <c r="F31" s="4">
        <v>0</v>
      </c>
      <c r="G31" s="4">
        <v>0</v>
      </c>
      <c r="H31" s="4">
        <v>0</v>
      </c>
      <c r="I31" s="4">
        <v>0</v>
      </c>
      <c r="J31" s="4">
        <v>0</v>
      </c>
      <c r="K31" s="4">
        <v>0</v>
      </c>
      <c r="M31" s="4">
        <v>7.6387198047999982E-2</v>
      </c>
      <c r="N31" s="1" t="s">
        <v>18</v>
      </c>
      <c r="O31">
        <v>5.8525266230162716E-3</v>
      </c>
      <c r="P31">
        <v>2.9868127864630689E-3</v>
      </c>
      <c r="Q31">
        <v>1.1135939626668114E-2</v>
      </c>
      <c r="R31">
        <v>5.6831807881757368E-3</v>
      </c>
      <c r="S31">
        <v>1.1570892915585313E-2</v>
      </c>
      <c r="T31">
        <v>5.9051574024713439E-3</v>
      </c>
      <c r="U31">
        <v>2.201660466231109E-2</v>
      </c>
      <c r="V31">
        <v>1.1236083243309042E-2</v>
      </c>
      <c r="AC31" s="7"/>
    </row>
    <row r="32" spans="1:29">
      <c r="A32" s="7"/>
      <c r="B32" s="4">
        <v>9.9595846395442275E-4</v>
      </c>
      <c r="C32" s="1" t="s">
        <v>19</v>
      </c>
      <c r="D32" s="4">
        <v>0</v>
      </c>
      <c r="E32" s="4">
        <v>0</v>
      </c>
      <c r="F32" s="4">
        <v>0</v>
      </c>
      <c r="G32" s="4">
        <v>0</v>
      </c>
      <c r="H32" s="4">
        <v>0</v>
      </c>
      <c r="I32" s="4">
        <v>0</v>
      </c>
      <c r="J32" s="4">
        <v>0</v>
      </c>
      <c r="K32" s="4">
        <v>0</v>
      </c>
      <c r="M32" s="4">
        <v>0.28836383804800003</v>
      </c>
      <c r="N32" s="1" t="s">
        <v>19</v>
      </c>
      <c r="O32">
        <v>2.2093453908737262E-2</v>
      </c>
      <c r="P32">
        <v>1.1275302938774082E-2</v>
      </c>
      <c r="Q32">
        <v>4.2038487771196731E-2</v>
      </c>
      <c r="R32">
        <v>2.1454168581615123E-2</v>
      </c>
      <c r="S32">
        <v>4.368044876687234E-2</v>
      </c>
      <c r="T32">
        <v>2.2292136593152337E-2</v>
      </c>
      <c r="U32">
        <v>8.3113306724774488E-2</v>
      </c>
      <c r="V32">
        <v>4.2416532762877657E-2</v>
      </c>
      <c r="AC32" s="7"/>
    </row>
    <row r="33" spans="1:29">
      <c r="A33" s="7"/>
      <c r="B33" s="4">
        <v>8.6458533312517554E-3</v>
      </c>
      <c r="C33" s="1" t="s">
        <v>20</v>
      </c>
      <c r="D33" s="4">
        <v>0</v>
      </c>
      <c r="E33" s="4">
        <v>0</v>
      </c>
      <c r="F33" s="4">
        <v>0</v>
      </c>
      <c r="G33" s="4">
        <v>0</v>
      </c>
      <c r="H33" s="4">
        <v>0</v>
      </c>
      <c r="I33" s="4">
        <v>0</v>
      </c>
      <c r="J33" s="4">
        <v>0</v>
      </c>
      <c r="K33" s="4">
        <v>0</v>
      </c>
      <c r="M33" s="4">
        <v>0.146836641952</v>
      </c>
      <c r="N33" s="1" t="s">
        <v>20</v>
      </c>
      <c r="O33">
        <v>1.1250122772121871E-2</v>
      </c>
      <c r="P33">
        <v>5.7414536847907862E-3</v>
      </c>
      <c r="Q33">
        <v>2.1406256827651335E-2</v>
      </c>
      <c r="R33">
        <v>1.0924594747112801E-2</v>
      </c>
      <c r="S33">
        <v>2.2242353477124548E-2</v>
      </c>
      <c r="T33">
        <v>1.1351293218426799E-2</v>
      </c>
      <c r="U33">
        <v>4.2321807559521446E-2</v>
      </c>
      <c r="V33">
        <v>2.1598759665250409E-2</v>
      </c>
      <c r="AC33" s="7"/>
    </row>
    <row r="34" spans="1:29">
      <c r="A34" s="7"/>
      <c r="X34" t="s">
        <v>86</v>
      </c>
      <c r="AC34" s="7"/>
    </row>
    <row r="35" spans="1:29">
      <c r="A35" s="7"/>
      <c r="C35" s="1" t="s">
        <v>27</v>
      </c>
      <c r="D35" s="4">
        <v>1.2494563008564811E-2</v>
      </c>
      <c r="E35" s="4">
        <v>1.43931030345044E-3</v>
      </c>
      <c r="F35" s="4">
        <v>0.11125136446738418</v>
      </c>
      <c r="G35" s="4">
        <v>1.2815593073648362E-2</v>
      </c>
      <c r="H35" s="4">
        <v>1.3190987580125996E-3</v>
      </c>
      <c r="I35" s="4">
        <v>1.5195348827924278E-4</v>
      </c>
      <c r="J35" s="4">
        <v>1.1745231633594377E-2</v>
      </c>
      <c r="K35" s="4">
        <v>1.3529911286258125E-3</v>
      </c>
      <c r="P35" t="s">
        <v>63</v>
      </c>
      <c r="AA35" t="s">
        <v>44</v>
      </c>
      <c r="AC35" s="7"/>
    </row>
    <row r="36" spans="1:29">
      <c r="A36" s="7"/>
      <c r="C36" s="1"/>
      <c r="D36" s="1" t="s">
        <v>13</v>
      </c>
      <c r="E36" s="1" t="s">
        <v>14</v>
      </c>
      <c r="F36" s="1" t="s">
        <v>15</v>
      </c>
      <c r="G36" s="1" t="s">
        <v>16</v>
      </c>
      <c r="H36" s="1" t="s">
        <v>17</v>
      </c>
      <c r="I36" s="1" t="s">
        <v>18</v>
      </c>
      <c r="J36" s="1" t="s">
        <v>19</v>
      </c>
      <c r="K36" s="1" t="s">
        <v>20</v>
      </c>
      <c r="L36" s="1"/>
      <c r="O36" s="1" t="s">
        <v>13</v>
      </c>
      <c r="P36" s="1" t="s">
        <v>14</v>
      </c>
      <c r="Q36" s="1" t="s">
        <v>15</v>
      </c>
      <c r="R36" s="1" t="s">
        <v>16</v>
      </c>
      <c r="S36" s="1" t="s">
        <v>17</v>
      </c>
      <c r="T36" s="1" t="s">
        <v>18</v>
      </c>
      <c r="U36" s="1" t="s">
        <v>19</v>
      </c>
      <c r="V36" s="1" t="s">
        <v>20</v>
      </c>
      <c r="X36" s="1" t="s">
        <v>47</v>
      </c>
      <c r="Y36" s="1" t="s">
        <v>48</v>
      </c>
      <c r="Z36" s="1" t="s">
        <v>66</v>
      </c>
      <c r="AC36" s="7"/>
    </row>
    <row r="37" spans="1:29">
      <c r="A37" s="7"/>
      <c r="B37" s="4">
        <v>8.1893913214573094E-2</v>
      </c>
      <c r="C37" s="1" t="s">
        <v>13</v>
      </c>
      <c r="D37" s="4">
        <v>1.0232286586774218E-3</v>
      </c>
      <c r="E37" s="4">
        <v>1.178707530796112E-4</v>
      </c>
      <c r="F37" s="4">
        <v>9.1108095866948013E-3</v>
      </c>
      <c r="G37" s="4">
        <v>1.049519066966643E-3</v>
      </c>
      <c r="H37" s="4">
        <v>1.0802615921013498E-4</v>
      </c>
      <c r="I37" s="4">
        <v>1.2444065781791958E-5</v>
      </c>
      <c r="J37" s="4">
        <v>9.6186298008663648E-4</v>
      </c>
      <c r="K37" s="4">
        <v>1.1080173806776959E-4</v>
      </c>
      <c r="N37" s="1" t="s">
        <v>13</v>
      </c>
      <c r="O37" s="5">
        <v>58.787448200646544</v>
      </c>
      <c r="P37" s="5">
        <v>30.001931350246888</v>
      </c>
      <c r="Q37" s="5">
        <v>111.85826500877737</v>
      </c>
      <c r="R37" s="5">
        <v>57.086403483561199</v>
      </c>
      <c r="S37" s="5">
        <v>116.22728297126936</v>
      </c>
      <c r="T37" s="5">
        <v>59.316113753197271</v>
      </c>
      <c r="U37" s="5">
        <v>221.15234829511482</v>
      </c>
      <c r="V37" s="5">
        <v>112.86418741718666</v>
      </c>
      <c r="X37">
        <v>767.29398048000007</v>
      </c>
      <c r="Y37">
        <v>58.787448200646544</v>
      </c>
      <c r="Z37">
        <v>708.50653227935356</v>
      </c>
      <c r="AA37">
        <v>20.585458109735693</v>
      </c>
      <c r="AB37">
        <v>236.68885513301288</v>
      </c>
      <c r="AC37" s="7"/>
    </row>
    <row r="38" spans="1:29">
      <c r="A38" s="7"/>
      <c r="B38" s="4">
        <v>9.4337635496986021E-3</v>
      </c>
      <c r="C38" s="1" t="s">
        <v>14</v>
      </c>
      <c r="D38" s="4">
        <v>1.1787075307961121E-4</v>
      </c>
      <c r="E38" s="4">
        <v>1.3578113077396394E-5</v>
      </c>
      <c r="F38" s="4">
        <v>1.049519066966643E-3</v>
      </c>
      <c r="G38" s="4">
        <v>1.2089927480595379E-4</v>
      </c>
      <c r="H38" s="4">
        <v>1.244406578179196E-5</v>
      </c>
      <c r="I38" s="4">
        <v>1.4334932789782742E-6</v>
      </c>
      <c r="J38" s="4">
        <v>1.1080173806776959E-4</v>
      </c>
      <c r="K38" s="4">
        <v>1.2763798392295763E-5</v>
      </c>
      <c r="N38" s="1" t="s">
        <v>14</v>
      </c>
      <c r="O38" s="5">
        <v>29.934930611074762</v>
      </c>
      <c r="P38" s="5">
        <v>15.277168182271804</v>
      </c>
      <c r="Q38" s="5">
        <v>56.958917316573306</v>
      </c>
      <c r="R38" s="5">
        <v>29.068748166848088</v>
      </c>
      <c r="S38" s="5">
        <v>59.18364816556938</v>
      </c>
      <c r="T38" s="5">
        <v>30.204130365724048</v>
      </c>
      <c r="U38" s="5">
        <v>112.61213751097451</v>
      </c>
      <c r="V38" s="5">
        <v>57.471139200964025</v>
      </c>
      <c r="X38">
        <v>390.71081951999992</v>
      </c>
      <c r="Y38">
        <v>15.277168182271804</v>
      </c>
      <c r="Z38">
        <v>375.43365133772812</v>
      </c>
      <c r="AA38">
        <v>3.4200437573670195E-2</v>
      </c>
      <c r="AB38">
        <v>51.784764248215893</v>
      </c>
      <c r="AC38" s="7"/>
    </row>
    <row r="39" spans="1:29">
      <c r="A39" s="7"/>
      <c r="B39" s="4">
        <v>0.72918193140884535</v>
      </c>
      <c r="C39" s="1" t="s">
        <v>15</v>
      </c>
      <c r="D39" s="4">
        <v>9.1108095866948013E-3</v>
      </c>
      <c r="E39" s="4">
        <v>1.049519066966643E-3</v>
      </c>
      <c r="F39" s="4">
        <v>8.112248481419658E-2</v>
      </c>
      <c r="G39" s="4">
        <v>9.3448989095927335E-3</v>
      </c>
      <c r="H39" s="4">
        <v>9.6186298008663648E-4</v>
      </c>
      <c r="I39" s="4">
        <v>1.1080173806776959E-4</v>
      </c>
      <c r="J39" s="4">
        <v>8.5644106874286155E-3</v>
      </c>
      <c r="K39" s="4">
        <v>9.8657668435040346E-4</v>
      </c>
      <c r="N39" s="1" t="s">
        <v>15</v>
      </c>
      <c r="O39" s="5">
        <v>113.00521164928492</v>
      </c>
      <c r="P39" s="5">
        <v>57.671742963741693</v>
      </c>
      <c r="Q39" s="5">
        <v>215.02152753586722</v>
      </c>
      <c r="R39" s="5">
        <v>109.73534836787424</v>
      </c>
      <c r="S39" s="5">
        <v>223.41994955727935</v>
      </c>
      <c r="T39" s="5">
        <v>114.02144835433421</v>
      </c>
      <c r="U39" s="5">
        <v>425.11401142176072</v>
      </c>
      <c r="V39" s="5">
        <v>216.95517966985796</v>
      </c>
      <c r="X39">
        <v>1474.9444195200003</v>
      </c>
      <c r="Y39">
        <v>215.02152753586722</v>
      </c>
      <c r="Z39">
        <v>1259.922891984133</v>
      </c>
      <c r="AA39">
        <v>1916.7213805540184</v>
      </c>
      <c r="AB39">
        <v>274.3448262731776</v>
      </c>
      <c r="AC39" s="7"/>
    </row>
    <row r="40" spans="1:29">
      <c r="A40" s="7"/>
      <c r="B40" s="4">
        <v>8.399806109643175E-2</v>
      </c>
      <c r="C40" s="1" t="s">
        <v>16</v>
      </c>
      <c r="D40" s="4">
        <v>1.049519066966643E-3</v>
      </c>
      <c r="E40" s="4">
        <v>1.2089927480595379E-4</v>
      </c>
      <c r="F40" s="4">
        <v>9.3448989095927318E-3</v>
      </c>
      <c r="G40" s="4">
        <v>1.0764849699873226E-3</v>
      </c>
      <c r="H40" s="4">
        <v>1.1080173806776958E-4</v>
      </c>
      <c r="I40" s="4">
        <v>1.276379839229576E-5</v>
      </c>
      <c r="J40" s="4">
        <v>9.8657668435040325E-4</v>
      </c>
      <c r="K40" s="4">
        <v>1.1364863148524114E-4</v>
      </c>
      <c r="N40" s="1" t="s">
        <v>16</v>
      </c>
      <c r="O40" s="5">
        <v>57.542949608313805</v>
      </c>
      <c r="P40" s="5">
        <v>29.366806634419625</v>
      </c>
      <c r="Q40" s="5">
        <v>109.4902858294621</v>
      </c>
      <c r="R40" s="5">
        <v>55.877915091036463</v>
      </c>
      <c r="S40" s="5">
        <v>113.76681403656211</v>
      </c>
      <c r="T40" s="5">
        <v>58.060423596064538</v>
      </c>
      <c r="U40" s="5">
        <v>216.47067228147006</v>
      </c>
      <c r="V40" s="5">
        <v>110.47491340267139</v>
      </c>
      <c r="X40">
        <v>751.05078048000007</v>
      </c>
      <c r="Y40">
        <v>55.877915091036463</v>
      </c>
      <c r="Z40">
        <v>695.1728653889636</v>
      </c>
      <c r="AA40">
        <v>10394.626774454546</v>
      </c>
      <c r="AB40">
        <v>78.210165932294885</v>
      </c>
      <c r="AC40" s="7"/>
    </row>
    <row r="41" spans="1:29">
      <c r="A41" s="7"/>
      <c r="B41" s="4">
        <v>8.6458533312517554E-3</v>
      </c>
      <c r="C41" s="1" t="s">
        <v>17</v>
      </c>
      <c r="D41" s="4">
        <v>1.0802615921013502E-4</v>
      </c>
      <c r="E41" s="4">
        <v>1.2444065781791962E-5</v>
      </c>
      <c r="F41" s="4">
        <v>9.618629800866367E-4</v>
      </c>
      <c r="G41" s="4">
        <v>1.1080173806776961E-4</v>
      </c>
      <c r="H41" s="4">
        <v>1.1404734391213287E-5</v>
      </c>
      <c r="I41" s="4">
        <v>1.3137675728344157E-6</v>
      </c>
      <c r="J41" s="4">
        <v>1.0154755004563544E-4</v>
      </c>
      <c r="K41" s="4">
        <v>1.1697762856583553E-5</v>
      </c>
      <c r="N41" s="1" t="s">
        <v>17</v>
      </c>
      <c r="O41" s="5">
        <v>114.93432544192595</v>
      </c>
      <c r="P41" s="5">
        <v>58.656258219040588</v>
      </c>
      <c r="Q41" s="5">
        <v>218.69216350415803</v>
      </c>
      <c r="R41" s="5">
        <v>111.60864227164326</v>
      </c>
      <c r="S41" s="5">
        <v>227.23395512349819</v>
      </c>
      <c r="T41" s="5">
        <v>115.96791034017525</v>
      </c>
      <c r="U41" s="5">
        <v>432.37113957460963</v>
      </c>
      <c r="V41" s="5">
        <v>220.65882504494877</v>
      </c>
      <c r="X41">
        <v>1500.1232195199998</v>
      </c>
      <c r="Y41">
        <v>227.23395512349819</v>
      </c>
      <c r="Z41">
        <v>1272.8892643965016</v>
      </c>
      <c r="AA41">
        <v>1789.985690194743</v>
      </c>
      <c r="AB41">
        <v>212.33963927167079</v>
      </c>
      <c r="AC41" s="7"/>
    </row>
    <row r="42" spans="1:29">
      <c r="A42" s="7"/>
      <c r="B42" s="4">
        <v>9.9595846395442275E-4</v>
      </c>
      <c r="C42" s="1" t="s">
        <v>18</v>
      </c>
      <c r="D42" s="4">
        <v>1.244406578179196E-5</v>
      </c>
      <c r="E42" s="4">
        <v>1.4334932789782742E-6</v>
      </c>
      <c r="F42" s="4">
        <v>1.1080173806776959E-4</v>
      </c>
      <c r="G42" s="4">
        <v>1.2763798392295762E-5</v>
      </c>
      <c r="H42" s="4">
        <v>1.3137675728344155E-6</v>
      </c>
      <c r="I42" s="4">
        <v>1.5133936277911101E-7</v>
      </c>
      <c r="J42" s="4">
        <v>1.1697762856583551E-5</v>
      </c>
      <c r="K42" s="4">
        <v>1.347522966210125E-6</v>
      </c>
      <c r="N42" s="1" t="s">
        <v>18</v>
      </c>
      <c r="O42" s="5">
        <v>58.525266230162714</v>
      </c>
      <c r="P42" s="5">
        <v>29.86812786463069</v>
      </c>
      <c r="Q42" s="5">
        <v>111.35939626668114</v>
      </c>
      <c r="R42" s="5">
        <v>56.831807881757371</v>
      </c>
      <c r="S42" s="5">
        <v>115.70892915585314</v>
      </c>
      <c r="T42" s="5">
        <v>59.051574024713439</v>
      </c>
      <c r="U42" s="5">
        <v>220.1660466231109</v>
      </c>
      <c r="V42" s="5">
        <v>112.36083243309042</v>
      </c>
      <c r="X42">
        <v>763.87198047999982</v>
      </c>
      <c r="Y42">
        <v>59.051574024713439</v>
      </c>
      <c r="Z42">
        <v>704.82040645528639</v>
      </c>
      <c r="AA42">
        <v>9909.0685399373324</v>
      </c>
      <c r="AB42">
        <v>127.53926433416322</v>
      </c>
      <c r="AC42" s="7"/>
    </row>
    <row r="43" spans="1:29">
      <c r="A43" s="7"/>
      <c r="B43" s="4">
        <v>7.6982522672245188E-2</v>
      </c>
      <c r="C43" s="1" t="s">
        <v>19</v>
      </c>
      <c r="D43" s="4">
        <v>9.6186298008663659E-4</v>
      </c>
      <c r="E43" s="4">
        <v>1.1080173806776959E-4</v>
      </c>
      <c r="F43" s="4">
        <v>8.5644106874286155E-3</v>
      </c>
      <c r="G43" s="4">
        <v>9.8657668435040346E-4</v>
      </c>
      <c r="H43" s="4">
        <v>1.0154755004563542E-4</v>
      </c>
      <c r="I43" s="4">
        <v>1.169776285658355E-5</v>
      </c>
      <c r="J43" s="4">
        <v>9.0417756052395054E-4</v>
      </c>
      <c r="K43" s="4">
        <v>1.0415667023478321E-4</v>
      </c>
      <c r="N43" s="1" t="s">
        <v>19</v>
      </c>
      <c r="O43" s="5">
        <v>220.93453908737263</v>
      </c>
      <c r="P43" s="5">
        <v>112.75302938774082</v>
      </c>
      <c r="Q43" s="5">
        <v>420.38487771196731</v>
      </c>
      <c r="R43" s="5">
        <v>214.54168581615124</v>
      </c>
      <c r="S43" s="5">
        <v>436.80448766872343</v>
      </c>
      <c r="T43" s="5">
        <v>222.92136593152338</v>
      </c>
      <c r="U43" s="5">
        <v>831.13306724774486</v>
      </c>
      <c r="V43" s="5">
        <v>424.16532762877659</v>
      </c>
      <c r="X43">
        <v>2883.6383804800003</v>
      </c>
      <c r="Y43">
        <v>831.13306724774486</v>
      </c>
      <c r="Z43">
        <v>2052.5053132322555</v>
      </c>
      <c r="AA43">
        <v>2054.9070265931255</v>
      </c>
      <c r="AB43">
        <v>521.41216697774576</v>
      </c>
      <c r="AC43" s="7"/>
    </row>
    <row r="44" spans="1:29">
      <c r="A44" s="7"/>
      <c r="B44" s="4">
        <v>8.8679962629999061E-3</v>
      </c>
      <c r="C44" s="1" t="s">
        <v>20</v>
      </c>
      <c r="D44" s="4">
        <v>1.1080173806776961E-4</v>
      </c>
      <c r="E44" s="4">
        <v>1.2763798392295763E-5</v>
      </c>
      <c r="F44" s="4">
        <v>9.8657668435040346E-4</v>
      </c>
      <c r="G44" s="4">
        <v>1.1364863148524115E-4</v>
      </c>
      <c r="H44" s="4">
        <v>1.1697762856583551E-5</v>
      </c>
      <c r="I44" s="4">
        <v>1.347522966210125E-6</v>
      </c>
      <c r="J44" s="4">
        <v>1.0415667023478321E-4</v>
      </c>
      <c r="K44" s="4">
        <v>1.199832027252573E-5</v>
      </c>
      <c r="N44" s="1" t="s">
        <v>20</v>
      </c>
      <c r="O44" s="5">
        <v>112.50122772121871</v>
      </c>
      <c r="P44" s="5">
        <v>57.414536847907861</v>
      </c>
      <c r="Q44" s="5">
        <v>214.06256827651336</v>
      </c>
      <c r="R44" s="5">
        <v>109.24594747112802</v>
      </c>
      <c r="S44" s="5">
        <v>222.42353477124547</v>
      </c>
      <c r="T44" s="5">
        <v>113.512932184268</v>
      </c>
      <c r="U44" s="5">
        <v>423.21807559521449</v>
      </c>
      <c r="V44" s="5">
        <v>215.9875966525041</v>
      </c>
      <c r="X44">
        <v>1468.3664195200001</v>
      </c>
      <c r="Y44">
        <v>215.9875966525041</v>
      </c>
      <c r="Z44">
        <v>1252.378822867496</v>
      </c>
      <c r="AA44">
        <v>129.10397572802526</v>
      </c>
      <c r="AB44">
        <v>378.37225855309379</v>
      </c>
      <c r="AC44" s="7"/>
    </row>
    <row r="45" spans="1:29">
      <c r="A45" s="7"/>
      <c r="X45" s="9">
        <v>10000</v>
      </c>
      <c r="Y45" s="9">
        <v>1678.3702520582829</v>
      </c>
      <c r="Z45" s="9">
        <v>8321.6297479417171</v>
      </c>
      <c r="AA45" s="9">
        <v>26215.033046009099</v>
      </c>
      <c r="AB45" s="9">
        <v>1880.6919407233747</v>
      </c>
      <c r="AC45" s="7"/>
    </row>
    <row r="46" spans="1:29">
      <c r="A46" s="7"/>
      <c r="C46" s="1" t="s">
        <v>28</v>
      </c>
      <c r="D46" s="4">
        <v>1.3818159473017321E-3</v>
      </c>
      <c r="E46" s="4">
        <v>1.1995458087398913E-2</v>
      </c>
      <c r="F46" s="4">
        <v>1.2303664359828366E-2</v>
      </c>
      <c r="G46" s="4">
        <v>0.10680734321957983</v>
      </c>
      <c r="H46" s="4">
        <v>1.4588358941711318E-4</v>
      </c>
      <c r="I46" s="4">
        <v>1.2664063444262576E-3</v>
      </c>
      <c r="J46" s="4">
        <v>1.2989448582498061E-3</v>
      </c>
      <c r="K46" s="4">
        <v>1.1276059330045871E-2</v>
      </c>
      <c r="P46" t="s">
        <v>70</v>
      </c>
      <c r="AB46" s="21">
        <v>28095.724986732475</v>
      </c>
      <c r="AC46" s="7"/>
    </row>
    <row r="47" spans="1:29">
      <c r="A47" s="7"/>
      <c r="C47" s="1"/>
      <c r="D47" s="1" t="s">
        <v>13</v>
      </c>
      <c r="E47" s="1" t="s">
        <v>14</v>
      </c>
      <c r="F47" s="1" t="s">
        <v>15</v>
      </c>
      <c r="G47" s="1" t="s">
        <v>16</v>
      </c>
      <c r="H47" s="1" t="s">
        <v>17</v>
      </c>
      <c r="I47" s="1" t="s">
        <v>18</v>
      </c>
      <c r="J47" s="1" t="s">
        <v>19</v>
      </c>
      <c r="K47" s="1" t="s">
        <v>20</v>
      </c>
      <c r="L47" s="1"/>
      <c r="O47" s="1" t="s">
        <v>13</v>
      </c>
      <c r="P47" s="1" t="s">
        <v>14</v>
      </c>
      <c r="Q47" s="1" t="s">
        <v>15</v>
      </c>
      <c r="R47" s="1" t="s">
        <v>16</v>
      </c>
      <c r="S47" s="1" t="s">
        <v>17</v>
      </c>
      <c r="T47" s="1" t="s">
        <v>18</v>
      </c>
      <c r="U47" s="1" t="s">
        <v>19</v>
      </c>
      <c r="V47" s="1" t="s">
        <v>20</v>
      </c>
      <c r="Z47" t="s">
        <v>68</v>
      </c>
      <c r="AC47" s="7"/>
    </row>
    <row r="48" spans="1:29">
      <c r="A48" s="7"/>
      <c r="B48" s="4">
        <v>9.4337635496986021E-3</v>
      </c>
      <c r="C48" s="1" t="s">
        <v>13</v>
      </c>
      <c r="D48" s="4">
        <v>1.3035724916047325E-5</v>
      </c>
      <c r="E48" s="4">
        <v>1.1316231526684118E-4</v>
      </c>
      <c r="F48" s="4">
        <v>1.1606986036547463E-4</v>
      </c>
      <c r="G48" s="4">
        <v>1.0075952213050203E-3</v>
      </c>
      <c r="H48" s="4">
        <v>1.3762312883423591E-6</v>
      </c>
      <c r="I48" s="4">
        <v>1.1946978011155482E-5</v>
      </c>
      <c r="J48" s="4">
        <v>1.2253938656825438E-5</v>
      </c>
      <c r="K48" s="4">
        <v>1.0637567749202557E-4</v>
      </c>
      <c r="N48" s="1" t="s">
        <v>13</v>
      </c>
      <c r="O48">
        <v>20.585458109735693</v>
      </c>
      <c r="P48">
        <v>17.635159539058034</v>
      </c>
      <c r="Q48">
        <v>0.70150255736196265</v>
      </c>
      <c r="R48">
        <v>15.856519579768335</v>
      </c>
      <c r="S48">
        <v>12.572995995499014</v>
      </c>
      <c r="T48">
        <v>22.234432343674477</v>
      </c>
      <c r="U48">
        <v>126.33782890375285</v>
      </c>
      <c r="V48">
        <v>99.298337532660199</v>
      </c>
      <c r="W48" s="7">
        <v>315.22223456151056</v>
      </c>
      <c r="Z48" t="s">
        <v>67</v>
      </c>
      <c r="AC48" s="7"/>
    </row>
    <row r="49" spans="1:29">
      <c r="A49" s="7"/>
      <c r="B49" s="4">
        <v>8.1893913214573094E-2</v>
      </c>
      <c r="C49" s="1" t="s">
        <v>14</v>
      </c>
      <c r="D49" s="4">
        <v>1.1316231526684116E-4</v>
      </c>
      <c r="E49" s="4">
        <v>9.8235500357849565E-4</v>
      </c>
      <c r="F49" s="4">
        <v>1.0075952213050201E-3</v>
      </c>
      <c r="G49" s="4">
        <v>8.7468712963033931E-3</v>
      </c>
      <c r="H49" s="4">
        <v>1.1946978011155481E-5</v>
      </c>
      <c r="I49" s="4">
        <v>1.037109712648287E-4</v>
      </c>
      <c r="J49" s="4">
        <v>1.0637567749202557E-4</v>
      </c>
      <c r="K49" s="4">
        <v>9.2344062417715374E-4</v>
      </c>
      <c r="N49" s="1" t="s">
        <v>14</v>
      </c>
      <c r="O49">
        <v>19.137539044270241</v>
      </c>
      <c r="P49">
        <v>3.4200437573670195E-2</v>
      </c>
      <c r="Q49">
        <v>28.032749713944206</v>
      </c>
      <c r="R49">
        <v>72.575533106941236</v>
      </c>
      <c r="S49">
        <v>17.501239638818614</v>
      </c>
      <c r="T49">
        <v>103.07130284995672</v>
      </c>
      <c r="U49">
        <v>93.500141257375773</v>
      </c>
      <c r="V49">
        <v>31.386147727473723</v>
      </c>
      <c r="W49" s="7">
        <v>365.23885377635418</v>
      </c>
      <c r="Z49" t="s">
        <v>69</v>
      </c>
      <c r="AB49">
        <v>12</v>
      </c>
      <c r="AC49" s="7"/>
    </row>
    <row r="50" spans="1:29">
      <c r="A50" s="7"/>
      <c r="B50" s="4">
        <v>8.399806109643175E-2</v>
      </c>
      <c r="C50" s="1" t="s">
        <v>15</v>
      </c>
      <c r="D50" s="4">
        <v>1.160698603654746E-4</v>
      </c>
      <c r="E50" s="4">
        <v>1.0075952213050203E-3</v>
      </c>
      <c r="F50" s="4">
        <v>1.033483950606853E-3</v>
      </c>
      <c r="G50" s="4">
        <v>8.9716097413058225E-3</v>
      </c>
      <c r="H50" s="4">
        <v>1.2253938656825436E-5</v>
      </c>
      <c r="I50" s="4">
        <v>1.0637567749202557E-4</v>
      </c>
      <c r="J50" s="4">
        <v>1.0910884956416309E-4</v>
      </c>
      <c r="K50" s="4">
        <v>9.4716712053218228E-4</v>
      </c>
      <c r="N50" s="1" t="s">
        <v>15</v>
      </c>
      <c r="O50">
        <v>2.5589724492923889</v>
      </c>
      <c r="P50">
        <v>27.289745530504749</v>
      </c>
      <c r="Q50">
        <v>1916.7213805540184</v>
      </c>
      <c r="R50">
        <v>36.473353442289401</v>
      </c>
      <c r="S50">
        <v>133.06170314801307</v>
      </c>
      <c r="T50">
        <v>91.284368638880181</v>
      </c>
      <c r="U50">
        <v>48.179123046847302</v>
      </c>
      <c r="V50">
        <v>144.32997478853054</v>
      </c>
      <c r="W50" s="7">
        <v>2399.8986215983759</v>
      </c>
      <c r="AC50" s="7"/>
    </row>
    <row r="51" spans="1:29">
      <c r="A51" s="7"/>
      <c r="B51" s="4">
        <v>0.72918193140884535</v>
      </c>
      <c r="C51" s="1" t="s">
        <v>16</v>
      </c>
      <c r="D51" s="4">
        <v>1.0075952213050203E-3</v>
      </c>
      <c r="E51" s="4">
        <v>8.7468712963033931E-3</v>
      </c>
      <c r="F51" s="4">
        <v>8.9716097413058225E-3</v>
      </c>
      <c r="G51" s="4">
        <v>7.7881984817500666E-2</v>
      </c>
      <c r="H51" s="4">
        <v>1.0637567749202559E-4</v>
      </c>
      <c r="I51" s="4">
        <v>9.2344062417715395E-4</v>
      </c>
      <c r="J51" s="4">
        <v>9.4716712053218249E-4</v>
      </c>
      <c r="K51" s="4">
        <v>8.2222987209635782E-3</v>
      </c>
      <c r="N51" s="1" t="s">
        <v>16</v>
      </c>
      <c r="O51">
        <v>27.173526459264604</v>
      </c>
      <c r="P51">
        <v>101.63807915779822</v>
      </c>
      <c r="Q51">
        <v>38.007967472532656</v>
      </c>
      <c r="R51">
        <v>10394.626774454546</v>
      </c>
      <c r="S51">
        <v>87.489636299449856</v>
      </c>
      <c r="T51">
        <v>19.981122831869676</v>
      </c>
      <c r="U51">
        <v>124.96197177946429</v>
      </c>
      <c r="V51">
        <v>1.8965673885721226</v>
      </c>
      <c r="W51" s="7">
        <v>10795.775645843498</v>
      </c>
      <c r="AC51" s="7"/>
    </row>
    <row r="52" spans="1:29">
      <c r="A52" s="7"/>
      <c r="B52" s="4">
        <v>9.9595846395442275E-4</v>
      </c>
      <c r="C52" s="1" t="s">
        <v>17</v>
      </c>
      <c r="D52" s="4">
        <v>1.3762312883423587E-6</v>
      </c>
      <c r="E52" s="4">
        <v>1.1946978011155479E-5</v>
      </c>
      <c r="F52" s="4">
        <v>1.2253938656825435E-5</v>
      </c>
      <c r="G52" s="4">
        <v>1.0637567749202556E-4</v>
      </c>
      <c r="H52" s="4">
        <v>1.4529399563202572E-7</v>
      </c>
      <c r="I52" s="4">
        <v>1.2612881175369112E-6</v>
      </c>
      <c r="J52" s="4">
        <v>1.2936951257839722E-6</v>
      </c>
      <c r="K52" s="4">
        <v>1.1230486729811423E-5</v>
      </c>
      <c r="N52" s="1" t="s">
        <v>17</v>
      </c>
      <c r="O52">
        <v>7.284118000086071</v>
      </c>
      <c r="P52">
        <v>33.997760148264838</v>
      </c>
      <c r="Q52">
        <v>139.54478981220217</v>
      </c>
      <c r="R52">
        <v>98.047676373328144</v>
      </c>
      <c r="S52">
        <v>1789.985690194743</v>
      </c>
      <c r="T52">
        <v>84.569556816390829</v>
      </c>
      <c r="U52">
        <v>21.036682218680166</v>
      </c>
      <c r="V52">
        <v>131.98853279396241</v>
      </c>
      <c r="W52" s="7">
        <v>2306.4548063576576</v>
      </c>
      <c r="AC52" s="7"/>
    </row>
    <row r="53" spans="1:29">
      <c r="A53" s="7"/>
      <c r="B53" s="4">
        <v>8.6458533312517554E-3</v>
      </c>
      <c r="C53" s="1" t="s">
        <v>18</v>
      </c>
      <c r="D53" s="4">
        <v>1.1946978011155481E-5</v>
      </c>
      <c r="E53" s="4">
        <v>1.037109712648287E-4</v>
      </c>
      <c r="F53" s="4">
        <v>1.0637567749202557E-4</v>
      </c>
      <c r="G53" s="4">
        <v>9.2344062417715385E-4</v>
      </c>
      <c r="H53" s="4">
        <v>1.2612881175369114E-6</v>
      </c>
      <c r="I53" s="4">
        <v>1.0949163511676117E-5</v>
      </c>
      <c r="J53" s="4">
        <v>1.1230486729811424E-5</v>
      </c>
      <c r="K53" s="4">
        <v>9.7491155122069533E-5</v>
      </c>
      <c r="N53" s="1" t="s">
        <v>18</v>
      </c>
      <c r="O53">
        <v>20.367169344874931</v>
      </c>
      <c r="P53">
        <v>90.991042513809006</v>
      </c>
      <c r="Q53">
        <v>92.257389640859671</v>
      </c>
      <c r="R53">
        <v>32.280580801453887</v>
      </c>
      <c r="S53">
        <v>12.018294308385578</v>
      </c>
      <c r="T53">
        <v>9909.0685399373324</v>
      </c>
      <c r="U53">
        <v>145.80119303093826</v>
      </c>
      <c r="V53">
        <v>8.7530662562689727</v>
      </c>
      <c r="W53" s="7">
        <v>10311.537275833924</v>
      </c>
      <c r="AC53" s="7"/>
    </row>
    <row r="54" spans="1:29">
      <c r="A54" s="7"/>
      <c r="B54" s="4">
        <v>8.8679962629999061E-3</v>
      </c>
      <c r="C54" s="1" t="s">
        <v>19</v>
      </c>
      <c r="D54" s="4">
        <v>1.2253938656825435E-5</v>
      </c>
      <c r="E54" s="4">
        <v>1.0637567749202556E-4</v>
      </c>
      <c r="F54" s="4">
        <v>1.0910884956416308E-4</v>
      </c>
      <c r="G54" s="4">
        <v>9.4716712053218228E-4</v>
      </c>
      <c r="H54" s="4">
        <v>1.2936951257839724E-6</v>
      </c>
      <c r="I54" s="4">
        <v>1.1230486729811424E-5</v>
      </c>
      <c r="J54" s="4">
        <v>1.1519038148802223E-5</v>
      </c>
      <c r="K54" s="4">
        <v>9.9996052000212007E-5</v>
      </c>
      <c r="N54" s="1" t="s">
        <v>19</v>
      </c>
      <c r="O54">
        <v>135.36296738797819</v>
      </c>
      <c r="P54">
        <v>102.97475292045434</v>
      </c>
      <c r="Q54">
        <v>27.944111074059435</v>
      </c>
      <c r="R54">
        <v>135.56557314431848</v>
      </c>
      <c r="S54">
        <v>26.115113072807574</v>
      </c>
      <c r="T54">
        <v>126.49117332687737</v>
      </c>
      <c r="U54">
        <v>2054.9070265931255</v>
      </c>
      <c r="V54">
        <v>94.45882483775479</v>
      </c>
      <c r="W54" s="7">
        <v>2703.8195423573757</v>
      </c>
      <c r="AC54" s="7"/>
    </row>
    <row r="55" spans="1:29">
      <c r="A55" s="7"/>
      <c r="B55" s="4">
        <v>7.6982522672245188E-2</v>
      </c>
      <c r="C55" s="1" t="s">
        <v>20</v>
      </c>
      <c r="D55" s="4">
        <v>1.0637567749202554E-4</v>
      </c>
      <c r="E55" s="4">
        <v>9.2344062417715374E-4</v>
      </c>
      <c r="F55" s="4">
        <v>9.4716712053218228E-4</v>
      </c>
      <c r="G55" s="4">
        <v>8.2222987209635764E-3</v>
      </c>
      <c r="H55" s="4">
        <v>1.1230486729811423E-5</v>
      </c>
      <c r="I55" s="4">
        <v>9.7491155122069519E-5</v>
      </c>
      <c r="J55" s="4">
        <v>9.9996052000212007E-5</v>
      </c>
      <c r="K55" s="4">
        <v>8.6805949302883815E-4</v>
      </c>
      <c r="N55" s="1" t="s">
        <v>20</v>
      </c>
      <c r="O55">
        <v>104.64344839137574</v>
      </c>
      <c r="P55">
        <v>34.358042260965256</v>
      </c>
      <c r="Q55">
        <v>124.21322133529655</v>
      </c>
      <c r="R55">
        <v>4.1318721142056676</v>
      </c>
      <c r="S55">
        <v>133.66335254759346</v>
      </c>
      <c r="T55">
        <v>3.7068938199333608</v>
      </c>
      <c r="U55">
        <v>59.149079135730716</v>
      </c>
      <c r="V55">
        <v>129.10397572802526</v>
      </c>
      <c r="W55" s="7">
        <v>592.96988533312606</v>
      </c>
      <c r="AC55" s="7"/>
    </row>
    <row r="56" spans="1:29">
      <c r="A56" s="7"/>
      <c r="O56" s="7">
        <v>337.11319918687786</v>
      </c>
      <c r="P56" s="7">
        <v>408.91878250842808</v>
      </c>
      <c r="Q56" s="7">
        <v>2367.4231121602752</v>
      </c>
      <c r="R56" s="7">
        <v>10789.557883016851</v>
      </c>
      <c r="S56" s="7">
        <v>2212.4080252053104</v>
      </c>
      <c r="T56" s="7">
        <v>10360.407390564917</v>
      </c>
      <c r="U56" s="7">
        <v>2673.8730459659146</v>
      </c>
      <c r="V56" s="7">
        <v>641.21542705324805</v>
      </c>
      <c r="W56" s="21">
        <v>29790.91686566182</v>
      </c>
      <c r="X56" t="s">
        <v>64</v>
      </c>
      <c r="AC56" s="7"/>
    </row>
    <row r="57" spans="1:29">
      <c r="A57" s="7"/>
      <c r="C57" s="1" t="s">
        <v>29</v>
      </c>
      <c r="D57" s="4">
        <v>1.1829656038204201E-2</v>
      </c>
      <c r="E57" s="4">
        <v>1.3627163919530927E-3</v>
      </c>
      <c r="F57" s="4">
        <v>1.3285804039043882E-3</v>
      </c>
      <c r="G57" s="4">
        <v>1.5304572580818757E-4</v>
      </c>
      <c r="H57" s="4">
        <v>0.11205103624059341</v>
      </c>
      <c r="I57" s="4">
        <v>1.2907711207093249E-2</v>
      </c>
      <c r="J57" s="4">
        <v>1.2584373586658553E-2</v>
      </c>
      <c r="K57" s="4">
        <v>1.449656026651848E-3</v>
      </c>
      <c r="X57">
        <v>1</v>
      </c>
      <c r="AC57" s="7"/>
    </row>
    <row r="58" spans="1:29">
      <c r="A58" s="7"/>
      <c r="C58" s="1"/>
      <c r="D58" s="1" t="s">
        <v>13</v>
      </c>
      <c r="E58" s="1" t="s">
        <v>14</v>
      </c>
      <c r="F58" s="1" t="s">
        <v>15</v>
      </c>
      <c r="G58" s="1" t="s">
        <v>16</v>
      </c>
      <c r="H58" s="1" t="s">
        <v>17</v>
      </c>
      <c r="I58" s="1" t="s">
        <v>18</v>
      </c>
      <c r="J58" s="1" t="s">
        <v>19</v>
      </c>
      <c r="K58" s="1" t="s">
        <v>20</v>
      </c>
      <c r="L58" s="1"/>
      <c r="X58">
        <v>0</v>
      </c>
      <c r="Y58" t="s">
        <v>65</v>
      </c>
      <c r="AC58" s="7"/>
    </row>
    <row r="59" spans="1:29">
      <c r="A59" s="7"/>
      <c r="B59" s="4">
        <v>7.6982522672245188E-2</v>
      </c>
      <c r="C59" s="1" t="s">
        <v>13</v>
      </c>
      <c r="D59" s="4">
        <v>9.1067676416591709E-4</v>
      </c>
      <c r="E59" s="4">
        <v>1.0490534553936912E-4</v>
      </c>
      <c r="F59" s="4">
        <v>1.0227747106547024E-4</v>
      </c>
      <c r="G59" s="4">
        <v>1.178184605691902E-5</v>
      </c>
      <c r="H59" s="4">
        <v>8.6259714378400503E-3</v>
      </c>
      <c r="I59" s="4">
        <v>9.9366817064684937E-4</v>
      </c>
      <c r="J59" s="4">
        <v>9.6877682495094552E-4</v>
      </c>
      <c r="K59" s="4">
        <v>1.1159817793868276E-4</v>
      </c>
      <c r="AC59" s="7"/>
    </row>
    <row r="60" spans="1:29">
      <c r="A60" s="7"/>
      <c r="B60" s="4">
        <v>8.8679962629999061E-3</v>
      </c>
      <c r="C60" s="1" t="s">
        <v>14</v>
      </c>
      <c r="D60" s="4">
        <v>1.0490534553936913E-4</v>
      </c>
      <c r="E60" s="4">
        <v>1.2084563871368742E-5</v>
      </c>
      <c r="F60" s="4">
        <v>1.178184605691902E-5</v>
      </c>
      <c r="G60" s="4">
        <v>1.3572089245351157E-6</v>
      </c>
      <c r="H60" s="4">
        <v>9.9366817064684937E-4</v>
      </c>
      <c r="I60" s="4">
        <v>1.1446553474838495E-4</v>
      </c>
      <c r="J60" s="4">
        <v>1.1159817793868277E-4</v>
      </c>
      <c r="K60" s="4">
        <v>1.2855544226983881E-5</v>
      </c>
      <c r="O60" s="22"/>
      <c r="P60" s="22"/>
      <c r="Q60" s="22"/>
      <c r="R60" s="22"/>
      <c r="S60" s="22"/>
      <c r="T60" s="22"/>
      <c r="U60" s="22"/>
      <c r="V60" s="22"/>
      <c r="AC60" s="7"/>
    </row>
    <row r="61" spans="1:29">
      <c r="A61" s="7"/>
      <c r="B61" s="4">
        <v>8.6458533312517554E-3</v>
      </c>
      <c r="C61" s="1" t="s">
        <v>15</v>
      </c>
      <c r="D61" s="4">
        <v>1.0227747106547024E-4</v>
      </c>
      <c r="E61" s="4">
        <v>1.178184605691902E-5</v>
      </c>
      <c r="F61" s="4">
        <v>1.1486711310932557E-5</v>
      </c>
      <c r="G61" s="4">
        <v>1.3232108983125613E-6</v>
      </c>
      <c r="H61" s="4">
        <v>9.6877682495094574E-4</v>
      </c>
      <c r="I61" s="4">
        <v>1.1159817793868279E-4</v>
      </c>
      <c r="J61" s="4">
        <v>1.0880264829592845E-4</v>
      </c>
      <c r="K61" s="4">
        <v>1.2533513387197063E-5</v>
      </c>
      <c r="O61" s="22"/>
      <c r="P61" s="22"/>
      <c r="Q61" s="22"/>
      <c r="R61" s="22"/>
      <c r="S61" s="22"/>
      <c r="T61" s="22"/>
      <c r="U61" s="22"/>
      <c r="V61" s="22"/>
      <c r="AC61" s="7"/>
    </row>
    <row r="62" spans="1:29">
      <c r="A62" s="7"/>
      <c r="B62" s="4">
        <v>9.9595846395442275E-4</v>
      </c>
      <c r="C62" s="1" t="s">
        <v>16</v>
      </c>
      <c r="D62" s="4">
        <v>1.1781846056919019E-5</v>
      </c>
      <c r="E62" s="4">
        <v>1.3572089245351153E-6</v>
      </c>
      <c r="F62" s="4">
        <v>1.3232108983125611E-6</v>
      </c>
      <c r="G62" s="4">
        <v>1.5242718599071224E-7</v>
      </c>
      <c r="H62" s="4">
        <v>1.1159817793868277E-4</v>
      </c>
      <c r="I62" s="4">
        <v>1.2855544226983881E-5</v>
      </c>
      <c r="J62" s="4">
        <v>1.2533513387197061E-5</v>
      </c>
      <c r="K62" s="4">
        <v>1.4437971895664462E-6</v>
      </c>
      <c r="O62" s="22"/>
      <c r="P62" s="22"/>
      <c r="Q62" s="22"/>
      <c r="R62" s="22"/>
      <c r="S62" s="22"/>
      <c r="T62" s="22"/>
      <c r="U62" s="22"/>
      <c r="V62" s="22"/>
      <c r="AC62" s="7"/>
    </row>
    <row r="63" spans="1:29">
      <c r="A63" s="7"/>
      <c r="B63" s="4">
        <v>0.72918193140884535</v>
      </c>
      <c r="C63" s="1" t="s">
        <v>17</v>
      </c>
      <c r="D63" s="4">
        <v>8.6259714378400486E-3</v>
      </c>
      <c r="E63" s="4">
        <v>9.9366817064684937E-4</v>
      </c>
      <c r="F63" s="4">
        <v>9.6877682495094563E-4</v>
      </c>
      <c r="G63" s="4">
        <v>1.1159817793868277E-4</v>
      </c>
      <c r="H63" s="4">
        <v>8.1705591022278437E-2</v>
      </c>
      <c r="I63" s="4">
        <v>9.4120697880558536E-3</v>
      </c>
      <c r="J63" s="4">
        <v>9.1762978374901414E-3</v>
      </c>
      <c r="K63" s="4">
        <v>1.0570629813924672E-3</v>
      </c>
      <c r="O63" s="22"/>
      <c r="P63" s="22"/>
      <c r="Q63" s="22"/>
      <c r="R63" s="22"/>
      <c r="S63" s="22"/>
      <c r="T63" s="22"/>
      <c r="U63" s="22"/>
      <c r="V63" s="22"/>
      <c r="AC63" s="7"/>
    </row>
    <row r="64" spans="1:29">
      <c r="A64" s="7"/>
      <c r="B64" s="4">
        <v>8.399806109643175E-2</v>
      </c>
      <c r="C64" s="1" t="s">
        <v>18</v>
      </c>
      <c r="D64" s="4">
        <v>9.9366817064684915E-4</v>
      </c>
      <c r="E64" s="4">
        <v>1.1446553474838492E-4</v>
      </c>
      <c r="F64" s="4">
        <v>1.1159817793868277E-4</v>
      </c>
      <c r="G64" s="4">
        <v>1.2855544226983881E-5</v>
      </c>
      <c r="H64" s="4">
        <v>9.4120697880558536E-3</v>
      </c>
      <c r="I64" s="4">
        <v>1.0842227145885157E-3</v>
      </c>
      <c r="J64" s="4">
        <v>1.057062981392467E-3</v>
      </c>
      <c r="K64" s="4">
        <v>1.2176829549551242E-4</v>
      </c>
      <c r="O64" s="22"/>
      <c r="P64" s="22"/>
      <c r="Q64" s="22"/>
      <c r="R64" s="22"/>
      <c r="S64" s="22"/>
      <c r="T64" s="22"/>
      <c r="U64" s="22"/>
      <c r="V64" s="22"/>
      <c r="AC64" s="7"/>
    </row>
    <row r="65" spans="1:29">
      <c r="A65" s="7"/>
      <c r="B65" s="4">
        <v>8.1893913214573094E-2</v>
      </c>
      <c r="C65" s="1" t="s">
        <v>19</v>
      </c>
      <c r="D65" s="4">
        <v>9.6877682495094541E-4</v>
      </c>
      <c r="E65" s="4">
        <v>1.1159817793868275E-4</v>
      </c>
      <c r="F65" s="4">
        <v>1.0880264829592843E-4</v>
      </c>
      <c r="G65" s="4">
        <v>1.2533513387197063E-5</v>
      </c>
      <c r="H65" s="4">
        <v>9.1762978374901414E-3</v>
      </c>
      <c r="I65" s="4">
        <v>1.0570629813924672E-3</v>
      </c>
      <c r="J65" s="4">
        <v>1.0305835983655815E-3</v>
      </c>
      <c r="K65" s="4">
        <v>1.187180048376093E-4</v>
      </c>
      <c r="O65" s="22"/>
      <c r="P65" s="22"/>
      <c r="Q65" s="22"/>
      <c r="R65" s="22"/>
      <c r="S65" s="22"/>
      <c r="T65" s="22"/>
      <c r="U65" s="22"/>
      <c r="V65" s="22"/>
      <c r="AC65" s="7"/>
    </row>
    <row r="66" spans="1:29">
      <c r="A66" s="7"/>
      <c r="B66" s="4">
        <v>9.4337635496986021E-3</v>
      </c>
      <c r="C66" s="1" t="s">
        <v>20</v>
      </c>
      <c r="D66" s="4">
        <v>1.1159817793868276E-4</v>
      </c>
      <c r="E66" s="4">
        <v>1.2855544226983881E-5</v>
      </c>
      <c r="F66" s="4">
        <v>1.2533513387197065E-5</v>
      </c>
      <c r="G66" s="4">
        <v>1.4437971895664464E-6</v>
      </c>
      <c r="H66" s="4">
        <v>1.0570629813924672E-3</v>
      </c>
      <c r="I66" s="4">
        <v>1.2176829549551244E-4</v>
      </c>
      <c r="J66" s="4">
        <v>1.1871800483760931E-4</v>
      </c>
      <c r="K66" s="4">
        <v>1.3675712183829109E-5</v>
      </c>
      <c r="O66" s="22"/>
      <c r="P66" s="22"/>
      <c r="Q66" s="22"/>
      <c r="R66" s="22"/>
      <c r="S66" s="22"/>
      <c r="T66" s="22"/>
      <c r="U66" s="22"/>
      <c r="V66" s="22"/>
      <c r="AC66" s="7"/>
    </row>
    <row r="67" spans="1:29">
      <c r="A67" s="7"/>
      <c r="O67" s="22"/>
      <c r="P67" s="22"/>
      <c r="Q67" s="22"/>
      <c r="R67" s="22"/>
      <c r="S67" s="22"/>
      <c r="T67" s="22"/>
      <c r="U67" s="22"/>
      <c r="V67" s="22"/>
      <c r="AC67" s="7"/>
    </row>
    <row r="68" spans="1:29">
      <c r="A68" s="7"/>
      <c r="C68" s="1" t="s">
        <v>30</v>
      </c>
      <c r="D68" s="4">
        <v>1.321699007626545E-3</v>
      </c>
      <c r="E68" s="4">
        <v>1.1473586682148058E-2</v>
      </c>
      <c r="F68" s="4">
        <v>1.4843909203458722E-4</v>
      </c>
      <c r="G68" s="4">
        <v>1.2885905033223877E-3</v>
      </c>
      <c r="H68" s="4">
        <v>1.2519192690339648E-2</v>
      </c>
      <c r="I68" s="4">
        <v>0.10867833121935186</v>
      </c>
      <c r="J68" s="4">
        <v>1.4060217835051478E-3</v>
      </c>
      <c r="K68" s="4">
        <v>1.2205587442336161E-2</v>
      </c>
      <c r="O68" s="5"/>
      <c r="AC68" s="7"/>
    </row>
    <row r="69" spans="1:29">
      <c r="A69" s="7"/>
      <c r="C69" s="1"/>
      <c r="D69" s="1" t="s">
        <v>13</v>
      </c>
      <c r="E69" s="1" t="s">
        <v>14</v>
      </c>
      <c r="F69" s="1" t="s">
        <v>15</v>
      </c>
      <c r="G69" s="1" t="s">
        <v>16</v>
      </c>
      <c r="H69" s="1" t="s">
        <v>17</v>
      </c>
      <c r="I69" s="1" t="s">
        <v>18</v>
      </c>
      <c r="J69" s="1" t="s">
        <v>19</v>
      </c>
      <c r="K69" s="1" t="s">
        <v>20</v>
      </c>
      <c r="L69" s="1"/>
      <c r="AC69" s="7"/>
    </row>
    <row r="70" spans="1:29">
      <c r="A70" s="7"/>
      <c r="B70" s="4">
        <v>8.8679962629999061E-3</v>
      </c>
      <c r="C70" s="1" t="s">
        <v>13</v>
      </c>
      <c r="D70" s="4">
        <v>1.1720821860442885E-5</v>
      </c>
      <c r="E70" s="4">
        <v>1.0174772382049447E-4</v>
      </c>
      <c r="F70" s="4">
        <v>1.3163573134458185E-6</v>
      </c>
      <c r="G70" s="4">
        <v>1.1427215768000102E-5</v>
      </c>
      <c r="H70" s="4">
        <v>1.1102015399370774E-4</v>
      </c>
      <c r="I70" s="4">
        <v>9.6375903512227836E-4</v>
      </c>
      <c r="J70" s="4">
        <v>1.2468595921820115E-5</v>
      </c>
      <c r="K70" s="4">
        <v>1.0823910382635565E-4</v>
      </c>
      <c r="AC70" s="7"/>
    </row>
    <row r="71" spans="1:29">
      <c r="A71" s="7"/>
      <c r="B71" s="4">
        <v>7.6982522672245188E-2</v>
      </c>
      <c r="C71" s="1" t="s">
        <v>14</v>
      </c>
      <c r="D71" s="4">
        <v>1.0174772382049447E-4</v>
      </c>
      <c r="E71" s="4">
        <v>8.832656468904333E-4</v>
      </c>
      <c r="F71" s="4">
        <v>1.14272157680001E-5</v>
      </c>
      <c r="G71" s="4">
        <v>9.9198947637255553E-5</v>
      </c>
      <c r="H71" s="4">
        <v>9.6375903512227825E-4</v>
      </c>
      <c r="I71" s="4">
        <v>8.3663320970755271E-3</v>
      </c>
      <c r="J71" s="4">
        <v>1.0823910382635565E-4</v>
      </c>
      <c r="K71" s="4">
        <v>9.3961691200771468E-4</v>
      </c>
      <c r="AC71" s="7"/>
    </row>
    <row r="72" spans="1:29">
      <c r="A72" s="7"/>
      <c r="B72" s="4">
        <v>9.9595846395442275E-4</v>
      </c>
      <c r="C72" s="1" t="s">
        <v>15</v>
      </c>
      <c r="D72" s="4">
        <v>1.3163573134458187E-6</v>
      </c>
      <c r="E72" s="4">
        <v>1.1427215768000102E-5</v>
      </c>
      <c r="F72" s="4">
        <v>1.4783917009355668E-7</v>
      </c>
      <c r="G72" s="4">
        <v>1.2833826183552218E-6</v>
      </c>
      <c r="H72" s="4">
        <v>1.2468595921820113E-5</v>
      </c>
      <c r="I72" s="4">
        <v>1.0823910382635567E-4</v>
      </c>
      <c r="J72" s="4">
        <v>1.4003392957862449E-6</v>
      </c>
      <c r="K72" s="4">
        <v>1.2156258120730514E-5</v>
      </c>
      <c r="AC72" s="7"/>
    </row>
    <row r="73" spans="1:29">
      <c r="A73" s="7"/>
      <c r="B73" s="4">
        <v>8.6458533312517554E-3</v>
      </c>
      <c r="C73" s="1" t="s">
        <v>16</v>
      </c>
      <c r="D73" s="4">
        <v>1.1427215768000103E-5</v>
      </c>
      <c r="E73" s="4">
        <v>9.9198947637255567E-5</v>
      </c>
      <c r="F73" s="4">
        <v>1.2833826183552218E-6</v>
      </c>
      <c r="G73" s="4">
        <v>1.1140964495769242E-5</v>
      </c>
      <c r="H73" s="4">
        <v>1.0823910382635568E-4</v>
      </c>
      <c r="I73" s="4">
        <v>9.396169120077149E-4</v>
      </c>
      <c r="J73" s="4">
        <v>1.2156258120730517E-5</v>
      </c>
      <c r="K73" s="4">
        <v>1.0552771884820669E-4</v>
      </c>
      <c r="AC73" s="7"/>
    </row>
    <row r="74" spans="1:29">
      <c r="A74" s="7"/>
      <c r="B74" s="4">
        <v>8.399806109643175E-2</v>
      </c>
      <c r="C74" s="1" t="s">
        <v>17</v>
      </c>
      <c r="D74" s="4">
        <v>1.1102015399370774E-4</v>
      </c>
      <c r="E74" s="4">
        <v>9.6375903512227825E-4</v>
      </c>
      <c r="F74" s="4">
        <v>1.2468595921820113E-5</v>
      </c>
      <c r="G74" s="4">
        <v>1.0823910382635567E-4</v>
      </c>
      <c r="H74" s="4">
        <v>1.0515879124811515E-3</v>
      </c>
      <c r="I74" s="4">
        <v>9.1287691056213642E-3</v>
      </c>
      <c r="J74" s="4">
        <v>1.1810310367377934E-4</v>
      </c>
      <c r="K74" s="4">
        <v>1.0252456796991929E-3</v>
      </c>
      <c r="AC74" s="7"/>
    </row>
    <row r="75" spans="1:29">
      <c r="A75" s="7"/>
      <c r="B75" s="4">
        <v>0.72918193140884535</v>
      </c>
      <c r="C75" s="1" t="s">
        <v>18</v>
      </c>
      <c r="D75" s="4">
        <v>9.6375903512227825E-4</v>
      </c>
      <c r="E75" s="4">
        <v>8.3663320970755271E-3</v>
      </c>
      <c r="F75" s="4">
        <v>1.0823910382635567E-4</v>
      </c>
      <c r="G75" s="4">
        <v>9.3961691200771479E-4</v>
      </c>
      <c r="H75" s="4">
        <v>9.1287691056213642E-3</v>
      </c>
      <c r="I75" s="4">
        <v>7.9246275460817209E-2</v>
      </c>
      <c r="J75" s="4">
        <v>1.0252456796991931E-3</v>
      </c>
      <c r="K75" s="4">
        <v>8.9000938251822311E-3</v>
      </c>
      <c r="AC75" s="7"/>
    </row>
    <row r="76" spans="1:29">
      <c r="A76" s="7"/>
      <c r="B76" s="4">
        <v>9.4337635496986021E-3</v>
      </c>
      <c r="C76" s="1" t="s">
        <v>19</v>
      </c>
      <c r="D76" s="4">
        <v>1.2468595921820115E-5</v>
      </c>
      <c r="E76" s="4">
        <v>1.0823910382635567E-4</v>
      </c>
      <c r="F76" s="4">
        <v>1.4003392957862451E-6</v>
      </c>
      <c r="G76" s="4">
        <v>1.2156258120730517E-5</v>
      </c>
      <c r="H76" s="4">
        <v>1.1810310367377935E-4</v>
      </c>
      <c r="I76" s="4">
        <v>1.0252456796991931E-3</v>
      </c>
      <c r="J76" s="4">
        <v>1.3264077051313082E-5</v>
      </c>
      <c r="K76" s="4">
        <v>1.1514462591616987E-4</v>
      </c>
      <c r="AC76" s="7"/>
    </row>
    <row r="77" spans="1:29">
      <c r="A77" s="7"/>
      <c r="B77" s="4">
        <v>8.1893913214573094E-2</v>
      </c>
      <c r="C77" s="1" t="s">
        <v>20</v>
      </c>
      <c r="D77" s="4">
        <v>1.0823910382635565E-4</v>
      </c>
      <c r="E77" s="4">
        <v>9.3961691200771468E-4</v>
      </c>
      <c r="F77" s="4">
        <v>1.2156258120730514E-5</v>
      </c>
      <c r="G77" s="4">
        <v>1.0552771884820668E-4</v>
      </c>
      <c r="H77" s="4">
        <v>1.0252456796991931E-3</v>
      </c>
      <c r="I77" s="4">
        <v>8.9000938251822311E-3</v>
      </c>
      <c r="J77" s="4">
        <v>1.1514462591616985E-4</v>
      </c>
      <c r="K77" s="4">
        <v>9.995633187355607E-4</v>
      </c>
      <c r="AC77" s="7"/>
    </row>
    <row r="78" spans="1:29">
      <c r="A78" s="7"/>
      <c r="AC78" s="7"/>
    </row>
    <row r="79" spans="1:29">
      <c r="A79" s="7"/>
      <c r="C79" s="1" t="s">
        <v>31</v>
      </c>
      <c r="D79" s="4">
        <v>3.431327114464029E-3</v>
      </c>
      <c r="E79" s="4">
        <v>3.9527148464268166E-4</v>
      </c>
      <c r="F79" s="4">
        <v>3.0552474957017642E-2</v>
      </c>
      <c r="G79" s="4">
        <v>3.5194901951675511E-3</v>
      </c>
      <c r="H79" s="4">
        <v>3.250168539257936E-2</v>
      </c>
      <c r="I79" s="4">
        <v>3.7440293536458399E-3</v>
      </c>
      <c r="J79" s="4">
        <v>0.28939442259289055</v>
      </c>
      <c r="K79" s="4">
        <v>3.3336770074592847E-2</v>
      </c>
      <c r="AC79" s="7"/>
    </row>
    <row r="80" spans="1:29">
      <c r="A80" s="7"/>
      <c r="C80" s="1"/>
      <c r="D80" s="1" t="s">
        <v>13</v>
      </c>
      <c r="E80" s="1" t="s">
        <v>14</v>
      </c>
      <c r="F80" s="1" t="s">
        <v>15</v>
      </c>
      <c r="G80" s="1" t="s">
        <v>16</v>
      </c>
      <c r="H80" s="1" t="s">
        <v>17</v>
      </c>
      <c r="I80" s="1" t="s">
        <v>18</v>
      </c>
      <c r="J80" s="1" t="s">
        <v>19</v>
      </c>
      <c r="K80" s="1" t="s">
        <v>20</v>
      </c>
      <c r="L80" s="1"/>
      <c r="AC80" s="7"/>
    </row>
    <row r="81" spans="1:29">
      <c r="A81" s="7"/>
      <c r="B81" s="4">
        <v>8.6458533312517554E-3</v>
      </c>
      <c r="C81" s="1" t="s">
        <v>13</v>
      </c>
      <c r="D81" s="4">
        <v>2.9666750963203298E-5</v>
      </c>
      <c r="E81" s="4">
        <v>3.4174592822467561E-6</v>
      </c>
      <c r="F81" s="4">
        <v>2.6415221738511683E-4</v>
      </c>
      <c r="G81" s="4">
        <v>3.0428996028197261E-5</v>
      </c>
      <c r="H81" s="4">
        <v>2.8100480492272879E-4</v>
      </c>
      <c r="I81" s="4">
        <v>3.2370328659523238E-5</v>
      </c>
      <c r="J81" s="4">
        <v>2.5020617326204212E-3</v>
      </c>
      <c r="K81" s="4">
        <v>2.8822482460259238E-4</v>
      </c>
      <c r="AC81" s="7"/>
    </row>
    <row r="82" spans="1:29">
      <c r="A82" s="7"/>
      <c r="B82" s="4">
        <v>9.9595846395442275E-4</v>
      </c>
      <c r="C82" s="1" t="s">
        <v>14</v>
      </c>
      <c r="D82" s="4">
        <v>3.4174592822467561E-6</v>
      </c>
      <c r="E82" s="4">
        <v>3.9367398068970943E-7</v>
      </c>
      <c r="F82" s="4">
        <v>3.0428996028197258E-5</v>
      </c>
      <c r="G82" s="4">
        <v>3.5052660486817258E-6</v>
      </c>
      <c r="H82" s="4">
        <v>3.2370328659523238E-5</v>
      </c>
      <c r="I82" s="4">
        <v>3.7288977240573808E-6</v>
      </c>
      <c r="J82" s="4">
        <v>2.8822482460259238E-4</v>
      </c>
      <c r="K82" s="4">
        <v>3.3202038316693261E-5</v>
      </c>
      <c r="AC82" s="7"/>
    </row>
    <row r="83" spans="1:29">
      <c r="A83" s="7"/>
      <c r="B83" s="4">
        <v>7.6982522672245188E-2</v>
      </c>
      <c r="C83" s="1" t="s">
        <v>15</v>
      </c>
      <c r="D83" s="4">
        <v>2.6415221738511677E-4</v>
      </c>
      <c r="E83" s="4">
        <v>3.0428996028197258E-5</v>
      </c>
      <c r="F83" s="4">
        <v>2.3520065960718141E-3</v>
      </c>
      <c r="G83" s="4">
        <v>2.7093923374423067E-4</v>
      </c>
      <c r="H83" s="4">
        <v>2.5020617326204208E-3</v>
      </c>
      <c r="I83" s="4">
        <v>2.8822482460259238E-4</v>
      </c>
      <c r="J83" s="4">
        <v>2.2278312698478502E-2</v>
      </c>
      <c r="K83" s="4">
        <v>2.5663486580867687E-3</v>
      </c>
      <c r="AC83" s="7"/>
    </row>
    <row r="84" spans="1:29">
      <c r="A84" s="7"/>
      <c r="B84" s="4">
        <v>8.8679962629999061E-3</v>
      </c>
      <c r="C84" s="1" t="s">
        <v>16</v>
      </c>
      <c r="D84" s="4">
        <v>3.0428996028197261E-5</v>
      </c>
      <c r="E84" s="4">
        <v>3.5052660486817258E-6</v>
      </c>
      <c r="F84" s="4">
        <v>2.7093923374423067E-4</v>
      </c>
      <c r="G84" s="4">
        <v>3.121082589841065E-5</v>
      </c>
      <c r="H84" s="4">
        <v>2.8822482460259238E-4</v>
      </c>
      <c r="I84" s="4">
        <v>3.3202038316693261E-5</v>
      </c>
      <c r="J84" s="4">
        <v>2.5663486580867691E-3</v>
      </c>
      <c r="K84" s="4">
        <v>2.956303524419765E-4</v>
      </c>
      <c r="AC84" s="7"/>
    </row>
    <row r="85" spans="1:29">
      <c r="A85" s="7"/>
      <c r="B85" s="4">
        <v>8.1893913214573094E-2</v>
      </c>
      <c r="C85" s="1" t="s">
        <v>17</v>
      </c>
      <c r="D85" s="4">
        <v>2.8100480492272874E-4</v>
      </c>
      <c r="E85" s="4">
        <v>3.2370328659523232E-5</v>
      </c>
      <c r="F85" s="4">
        <v>2.5020617326204208E-3</v>
      </c>
      <c r="G85" s="4">
        <v>2.8822482460259233E-4</v>
      </c>
      <c r="H85" s="4">
        <v>2.6616902028672521E-3</v>
      </c>
      <c r="I85" s="4">
        <v>3.0661321496028662E-4</v>
      </c>
      <c r="J85" s="4">
        <v>2.3699641728603671E-2</v>
      </c>
      <c r="K85" s="4">
        <v>2.730078555342884E-3</v>
      </c>
      <c r="AC85" s="7"/>
    </row>
    <row r="86" spans="1:29">
      <c r="A86" s="7"/>
      <c r="B86" s="4">
        <v>9.4337635496986021E-3</v>
      </c>
      <c r="C86" s="1" t="s">
        <v>18</v>
      </c>
      <c r="D86" s="4">
        <v>3.2370328659523238E-5</v>
      </c>
      <c r="E86" s="4">
        <v>3.7288977240573812E-6</v>
      </c>
      <c r="F86" s="4">
        <v>2.8822482460259238E-4</v>
      </c>
      <c r="G86" s="4">
        <v>3.3202038316693261E-5</v>
      </c>
      <c r="H86" s="4">
        <v>3.0661321496028667E-4</v>
      </c>
      <c r="I86" s="4">
        <v>3.5320287645425742E-5</v>
      </c>
      <c r="J86" s="4">
        <v>2.7300785553428845E-3</v>
      </c>
      <c r="K86" s="4">
        <v>3.1449120639437714E-4</v>
      </c>
      <c r="AC86" s="7"/>
    </row>
    <row r="87" spans="1:29">
      <c r="A87" s="7"/>
      <c r="B87" s="4">
        <v>0.72918193140884535</v>
      </c>
      <c r="C87" s="1" t="s">
        <v>19</v>
      </c>
      <c r="D87" s="4">
        <v>2.5020617326204208E-3</v>
      </c>
      <c r="E87" s="4">
        <v>2.8822482460259238E-4</v>
      </c>
      <c r="F87" s="4">
        <v>2.2278312698478502E-2</v>
      </c>
      <c r="G87" s="4">
        <v>2.5663486580867691E-3</v>
      </c>
      <c r="H87" s="4">
        <v>2.3699641728603674E-2</v>
      </c>
      <c r="I87" s="4">
        <v>2.7300785553428845E-3</v>
      </c>
      <c r="J87" s="4">
        <v>0.21102118400523154</v>
      </c>
      <c r="K87" s="4">
        <v>2.4308570389924209E-2</v>
      </c>
      <c r="AC87" s="7"/>
    </row>
    <row r="88" spans="1:29">
      <c r="A88" s="7"/>
      <c r="B88" s="4">
        <v>8.399806109643175E-2</v>
      </c>
      <c r="C88" s="1" t="s">
        <v>20</v>
      </c>
      <c r="D88" s="4">
        <v>2.8822482460259238E-4</v>
      </c>
      <c r="E88" s="4">
        <v>3.3202038316693261E-5</v>
      </c>
      <c r="F88" s="4">
        <v>2.5663486580867691E-3</v>
      </c>
      <c r="G88" s="4">
        <v>2.9563035244197644E-4</v>
      </c>
      <c r="H88" s="4">
        <v>2.7300785553428845E-3</v>
      </c>
      <c r="I88" s="4">
        <v>3.1449120639437714E-4</v>
      </c>
      <c r="J88" s="4">
        <v>2.4308570389924209E-2</v>
      </c>
      <c r="K88" s="4">
        <v>2.8002240494833476E-3</v>
      </c>
      <c r="AC88" s="7"/>
    </row>
    <row r="89" spans="1:29">
      <c r="A89" s="7"/>
      <c r="AC89" s="7"/>
    </row>
    <row r="90" spans="1:29">
      <c r="A90" s="7"/>
      <c r="C90" s="1" t="s">
        <v>32</v>
      </c>
      <c r="D90" s="4">
        <v>2.7543296001720696E-7</v>
      </c>
      <c r="E90" s="4">
        <v>2.3910163536802636E-6</v>
      </c>
      <c r="F90" s="4">
        <v>2.4524501257226822E-6</v>
      </c>
      <c r="G90" s="4">
        <v>2.1289566640179238E-5</v>
      </c>
      <c r="H90" s="4">
        <v>2.6089134362884695E-6</v>
      </c>
      <c r="I90" s="4">
        <v>2.2647814884290547E-5</v>
      </c>
      <c r="J90" s="4">
        <v>2.3229718347526524E-5</v>
      </c>
      <c r="K90" s="4">
        <v>2.0165573668762265E-4</v>
      </c>
      <c r="AC90" s="7"/>
    </row>
    <row r="91" spans="1:29">
      <c r="A91" s="7"/>
      <c r="C91" s="1"/>
      <c r="D91" s="1" t="s">
        <v>13</v>
      </c>
      <c r="E91" s="1" t="s">
        <v>14</v>
      </c>
      <c r="F91" s="1" t="s">
        <v>15</v>
      </c>
      <c r="G91" s="1" t="s">
        <v>16</v>
      </c>
      <c r="H91" s="1" t="s">
        <v>17</v>
      </c>
      <c r="I91" s="1" t="s">
        <v>18</v>
      </c>
      <c r="J91" s="1" t="s">
        <v>19</v>
      </c>
      <c r="K91" s="1" t="s">
        <v>20</v>
      </c>
      <c r="AC91" s="7"/>
    </row>
    <row r="92" spans="1:29">
      <c r="A92" s="7"/>
      <c r="B92" s="4">
        <v>9.9595846395442275E-4</v>
      </c>
      <c r="C92" s="1" t="s">
        <v>13</v>
      </c>
      <c r="D92" s="4">
        <v>2.7431978778115737E-10</v>
      </c>
      <c r="E92" s="4">
        <v>2.3813529749013E-9</v>
      </c>
      <c r="F92" s="4">
        <v>2.4425384601395936E-9</v>
      </c>
      <c r="G92" s="4">
        <v>2.1203524089208236E-8</v>
      </c>
      <c r="H92" s="4">
        <v>2.5983694185959187E-9</v>
      </c>
      <c r="I92" s="4">
        <v>2.2556282924082126E-8</v>
      </c>
      <c r="J92" s="4">
        <v>2.313583460349639E-8</v>
      </c>
      <c r="K92" s="4">
        <v>2.0084073775900218E-7</v>
      </c>
      <c r="AC92" s="7"/>
    </row>
    <row r="93" spans="1:29">
      <c r="A93" s="7"/>
      <c r="B93" s="4">
        <v>8.6458533312517554E-3</v>
      </c>
      <c r="C93" s="1" t="s">
        <v>14</v>
      </c>
      <c r="D93" s="4">
        <v>2.3813529749013004E-9</v>
      </c>
      <c r="E93" s="4">
        <v>2.0672376706543932E-8</v>
      </c>
      <c r="F93" s="4">
        <v>2.1203524089208239E-8</v>
      </c>
      <c r="G93" s="4">
        <v>1.840664706568999E-7</v>
      </c>
      <c r="H93" s="4">
        <v>2.2556282924082129E-8</v>
      </c>
      <c r="I93" s="4">
        <v>1.9580968576291651E-7</v>
      </c>
      <c r="J93" s="4">
        <v>2.0084073775900221E-7</v>
      </c>
      <c r="K93" s="4">
        <v>1.7434859228067092E-6</v>
      </c>
      <c r="AC93" s="7"/>
    </row>
    <row r="94" spans="1:29">
      <c r="A94" s="7"/>
      <c r="B94" s="4">
        <v>8.8679962629999061E-3</v>
      </c>
      <c r="C94" s="1" t="s">
        <v>15</v>
      </c>
      <c r="D94" s="4">
        <v>2.4425384601395941E-9</v>
      </c>
      <c r="E94" s="4">
        <v>2.1203524089208239E-8</v>
      </c>
      <c r="F94" s="4">
        <v>2.1748318550102397E-8</v>
      </c>
      <c r="G94" s="4">
        <v>1.8879579740599694E-7</v>
      </c>
      <c r="H94" s="4">
        <v>2.313583460349639E-8</v>
      </c>
      <c r="I94" s="4">
        <v>2.0084073775900223E-7</v>
      </c>
      <c r="J94" s="4">
        <v>2.0600105549640557E-7</v>
      </c>
      <c r="K94" s="4">
        <v>1.7882823193583307E-6</v>
      </c>
      <c r="AC94" s="7"/>
    </row>
    <row r="95" spans="1:29">
      <c r="A95" s="7"/>
      <c r="B95" s="4">
        <v>7.6982522672245188E-2</v>
      </c>
      <c r="C95" s="1" t="s">
        <v>16</v>
      </c>
      <c r="D95" s="4">
        <v>2.1203524089208236E-8</v>
      </c>
      <c r="E95" s="4">
        <v>1.840664706568999E-7</v>
      </c>
      <c r="F95" s="4">
        <v>1.8879579740599694E-7</v>
      </c>
      <c r="G95" s="4">
        <v>1.6389245465598731E-6</v>
      </c>
      <c r="H95" s="4">
        <v>2.0084073775900221E-7</v>
      </c>
      <c r="I95" s="4">
        <v>1.743485922806709E-6</v>
      </c>
      <c r="J95" s="4">
        <v>1.7882823193583305E-6</v>
      </c>
      <c r="K95" s="4">
        <v>1.5523967321543216E-5</v>
      </c>
      <c r="AC95" s="7"/>
    </row>
    <row r="96" spans="1:29">
      <c r="A96" s="7"/>
      <c r="B96" s="4">
        <v>9.4337635496986021E-3</v>
      </c>
      <c r="C96" s="1" t="s">
        <v>17</v>
      </c>
      <c r="D96" s="4">
        <v>2.5983694185959195E-9</v>
      </c>
      <c r="E96" s="4">
        <v>2.2556282924082132E-8</v>
      </c>
      <c r="F96" s="4">
        <v>2.3135834603496393E-8</v>
      </c>
      <c r="G96" s="4">
        <v>2.0084073775900223E-7</v>
      </c>
      <c r="H96" s="4">
        <v>2.4611872479577089E-8</v>
      </c>
      <c r="I96" s="4">
        <v>2.1365413053574163E-7</v>
      </c>
      <c r="J96" s="4">
        <v>2.1914367021666056E-7</v>
      </c>
      <c r="K96" s="4">
        <v>1.9023725383513138E-6</v>
      </c>
      <c r="AC96" s="7"/>
    </row>
    <row r="97" spans="1:29">
      <c r="A97" s="7"/>
      <c r="B97" s="4">
        <v>8.1893913214573094E-2</v>
      </c>
      <c r="C97" s="1" t="s">
        <v>18</v>
      </c>
      <c r="D97" s="4">
        <v>2.2556282924082129E-8</v>
      </c>
      <c r="E97" s="4">
        <v>1.9580968576291651E-7</v>
      </c>
      <c r="F97" s="4">
        <v>2.0084073775900221E-7</v>
      </c>
      <c r="G97" s="4">
        <v>1.743485922806709E-6</v>
      </c>
      <c r="H97" s="4">
        <v>2.136541305357416E-7</v>
      </c>
      <c r="I97" s="4">
        <v>1.8547181866338069E-6</v>
      </c>
      <c r="J97" s="4">
        <v>1.9023725383513134E-6</v>
      </c>
      <c r="K97" s="4">
        <v>1.6514377399516974E-5</v>
      </c>
      <c r="AC97" s="7"/>
    </row>
    <row r="98" spans="1:29">
      <c r="A98" s="7"/>
      <c r="B98" s="4">
        <v>8.399806109643175E-2</v>
      </c>
      <c r="C98" s="1" t="s">
        <v>19</v>
      </c>
      <c r="D98" s="4">
        <v>2.3135834603496393E-8</v>
      </c>
      <c r="E98" s="4">
        <v>2.0084073775900226E-7</v>
      </c>
      <c r="F98" s="4">
        <v>2.060010554964056E-7</v>
      </c>
      <c r="G98" s="4">
        <v>1.788282319358331E-6</v>
      </c>
      <c r="H98" s="4">
        <v>2.1914367021666056E-7</v>
      </c>
      <c r="I98" s="4">
        <v>1.9023725383513138E-6</v>
      </c>
      <c r="J98" s="4">
        <v>1.9512513010084344E-6</v>
      </c>
      <c r="K98" s="4">
        <v>1.6938690890732882E-5</v>
      </c>
      <c r="AC98" s="7"/>
    </row>
    <row r="99" spans="1:29">
      <c r="A99" s="7"/>
      <c r="B99" s="4">
        <v>0.72918193140884535</v>
      </c>
      <c r="C99" s="1" t="s">
        <v>20</v>
      </c>
      <c r="D99" s="4">
        <v>2.0084073775900226E-7</v>
      </c>
      <c r="E99" s="4">
        <v>1.7434859228067094E-6</v>
      </c>
      <c r="F99" s="4">
        <v>1.788282319358331E-6</v>
      </c>
      <c r="G99" s="4">
        <v>1.5523967321543219E-5</v>
      </c>
      <c r="H99" s="4">
        <v>1.9023725383513138E-6</v>
      </c>
      <c r="I99" s="4">
        <v>1.6514377399516977E-5</v>
      </c>
      <c r="J99" s="4">
        <v>1.6938690890732882E-5</v>
      </c>
      <c r="K99" s="4">
        <v>1.4704371955755424E-4</v>
      </c>
      <c r="AC99" s="7"/>
    </row>
    <row r="100" spans="1:29">
      <c r="A100" s="7"/>
      <c r="AC100" s="7"/>
    </row>
    <row r="101" spans="1:29">
      <c r="A101" s="7"/>
      <c r="C101" s="1" t="s">
        <v>33</v>
      </c>
      <c r="AC101" s="7"/>
    </row>
    <row r="102" spans="1:29">
      <c r="A102" s="7"/>
      <c r="C102" s="1"/>
      <c r="D102" s="1" t="s">
        <v>13</v>
      </c>
      <c r="E102" s="1" t="s">
        <v>14</v>
      </c>
      <c r="F102" s="1" t="s">
        <v>15</v>
      </c>
      <c r="G102" s="1" t="s">
        <v>16</v>
      </c>
      <c r="H102" s="1" t="s">
        <v>17</v>
      </c>
      <c r="I102" s="1" t="s">
        <v>18</v>
      </c>
      <c r="J102" s="1" t="s">
        <v>19</v>
      </c>
      <c r="K102" s="1" t="s">
        <v>20</v>
      </c>
      <c r="AC102" s="7"/>
    </row>
    <row r="103" spans="1:29">
      <c r="A103" s="7"/>
      <c r="C103" s="1" t="s">
        <v>13</v>
      </c>
      <c r="D103" s="4">
        <v>2.5705835102223028E-3</v>
      </c>
      <c r="E103" s="4">
        <v>5.0817874611704193E-4</v>
      </c>
      <c r="F103" s="4">
        <v>9.6600205331390729E-3</v>
      </c>
      <c r="G103" s="4">
        <v>2.1183064453319206E-3</v>
      </c>
      <c r="H103" s="4">
        <v>9.1888722195766128E-3</v>
      </c>
      <c r="I103" s="4">
        <v>2.0212922628807996E-3</v>
      </c>
      <c r="J103" s="4">
        <v>4.4643509544808552E-3</v>
      </c>
      <c r="K103" s="4">
        <v>7.2623563924532138E-4</v>
      </c>
      <c r="L103" s="7">
        <v>3.1257840310993927E-2</v>
      </c>
      <c r="AC103" s="7"/>
    </row>
    <row r="104" spans="1:29">
      <c r="A104" s="7"/>
      <c r="C104" s="1" t="s">
        <v>14</v>
      </c>
      <c r="D104" s="4">
        <v>5.0817874611704193E-4</v>
      </c>
      <c r="E104" s="4">
        <v>1.8994241165225514E-3</v>
      </c>
      <c r="F104" s="4">
        <v>2.1183064453319201E-3</v>
      </c>
      <c r="G104" s="4">
        <v>8.972883811576739E-3</v>
      </c>
      <c r="H104" s="4">
        <v>2.0212922628807996E-3</v>
      </c>
      <c r="I104" s="4">
        <v>8.5906825138608017E-3</v>
      </c>
      <c r="J104" s="4">
        <v>7.2623563924532138E-4</v>
      </c>
      <c r="K104" s="4">
        <v>1.9237140148731374E-3</v>
      </c>
      <c r="L104" s="7">
        <v>2.6760717550408313E-2</v>
      </c>
      <c r="T104" s="6"/>
      <c r="AC104" s="7"/>
    </row>
    <row r="105" spans="1:29">
      <c r="A105" s="7"/>
      <c r="C105" s="1" t="s">
        <v>15</v>
      </c>
      <c r="D105" s="4">
        <v>9.6600205331390729E-3</v>
      </c>
      <c r="E105" s="4">
        <v>2.1183064453319206E-3</v>
      </c>
      <c r="F105" s="4">
        <v>8.4526975856639264E-2</v>
      </c>
      <c r="G105" s="4">
        <v>1.8591089288207557E-2</v>
      </c>
      <c r="H105" s="4">
        <v>4.4643509544808552E-3</v>
      </c>
      <c r="I105" s="4">
        <v>7.2623563924532149E-4</v>
      </c>
      <c r="J105" s="4">
        <v>3.1063016579053894E-2</v>
      </c>
      <c r="K105" s="4">
        <v>4.5266598337536709E-3</v>
      </c>
      <c r="L105" s="7">
        <v>0.15567665512985154</v>
      </c>
      <c r="AC105" s="7"/>
    </row>
    <row r="106" spans="1:29">
      <c r="A106" s="7"/>
      <c r="C106" s="1" t="s">
        <v>16</v>
      </c>
      <c r="D106" s="4">
        <v>2.1183064453319206E-3</v>
      </c>
      <c r="E106" s="4">
        <v>8.972883811576739E-3</v>
      </c>
      <c r="F106" s="4">
        <v>1.8591089288207553E-2</v>
      </c>
      <c r="G106" s="4">
        <v>7.9002710386166575E-2</v>
      </c>
      <c r="H106" s="4">
        <v>7.2623563924532149E-4</v>
      </c>
      <c r="I106" s="4">
        <v>1.9237140148731379E-3</v>
      </c>
      <c r="J106" s="4">
        <v>4.5266598337536709E-3</v>
      </c>
      <c r="K106" s="4">
        <v>8.7540834771106697E-3</v>
      </c>
      <c r="L106" s="7">
        <v>0.12461568289626557</v>
      </c>
      <c r="AC106" s="7"/>
    </row>
    <row r="107" spans="1:29">
      <c r="A107" s="7"/>
      <c r="C107" s="1" t="s">
        <v>17</v>
      </c>
      <c r="D107" s="4">
        <v>9.1888722195766111E-3</v>
      </c>
      <c r="E107" s="4">
        <v>2.0212922628807996E-3</v>
      </c>
      <c r="F107" s="4">
        <v>4.4643509544808552E-3</v>
      </c>
      <c r="G107" s="4">
        <v>7.2623563924532138E-4</v>
      </c>
      <c r="H107" s="4">
        <v>8.5436933488703987E-2</v>
      </c>
      <c r="I107" s="4">
        <v>1.8850988400237786E-2</v>
      </c>
      <c r="J107" s="4">
        <v>3.3097831913496613E-2</v>
      </c>
      <c r="K107" s="4">
        <v>4.8373017989465734E-3</v>
      </c>
      <c r="L107" s="7">
        <v>0.15862380667756854</v>
      </c>
      <c r="AC107" s="7"/>
    </row>
    <row r="108" spans="1:29">
      <c r="A108" s="7"/>
      <c r="C108" s="1" t="s">
        <v>18</v>
      </c>
      <c r="D108" s="4">
        <v>2.0212922628807992E-3</v>
      </c>
      <c r="E108" s="4">
        <v>8.5906825138608017E-3</v>
      </c>
      <c r="F108" s="4">
        <v>7.2623563924532138E-4</v>
      </c>
      <c r="G108" s="4">
        <v>1.9237140148731376E-3</v>
      </c>
      <c r="H108" s="4">
        <v>1.8850988400237786E-2</v>
      </c>
      <c r="I108" s="4">
        <v>8.0378859801742517E-2</v>
      </c>
      <c r="J108" s="4">
        <v>4.8373017989465743E-3</v>
      </c>
      <c r="K108" s="4">
        <v>9.4517160543708019E-3</v>
      </c>
      <c r="L108" s="7">
        <v>0.12678079048615776</v>
      </c>
      <c r="AC108" s="7"/>
    </row>
    <row r="109" spans="1:29">
      <c r="A109" s="7"/>
      <c r="C109" s="1" t="s">
        <v>19</v>
      </c>
      <c r="D109" s="4">
        <v>4.4643509544808552E-3</v>
      </c>
      <c r="E109" s="4">
        <v>7.2623563924532138E-4</v>
      </c>
      <c r="F109" s="4">
        <v>3.1063016579053894E-2</v>
      </c>
      <c r="G109" s="4">
        <v>4.5266598337536709E-3</v>
      </c>
      <c r="H109" s="4">
        <v>3.309783191349662E-2</v>
      </c>
      <c r="I109" s="4">
        <v>4.8373017989465751E-3</v>
      </c>
      <c r="J109" s="4">
        <v>0.21298276138780534</v>
      </c>
      <c r="K109" s="4">
        <v>2.476353386333615E-2</v>
      </c>
      <c r="L109" s="7">
        <v>0.31646169197011842</v>
      </c>
      <c r="AC109" s="7"/>
    </row>
    <row r="110" spans="1:29">
      <c r="A110" s="7"/>
      <c r="C110" s="1" t="s">
        <v>20</v>
      </c>
      <c r="D110" s="4">
        <v>7.2623563924532138E-4</v>
      </c>
      <c r="E110" s="4">
        <v>1.9237140148731374E-3</v>
      </c>
      <c r="F110" s="4">
        <v>4.5266598337536709E-3</v>
      </c>
      <c r="G110" s="4">
        <v>8.754083477110668E-3</v>
      </c>
      <c r="H110" s="4">
        <v>4.8373017989465751E-3</v>
      </c>
      <c r="I110" s="4">
        <v>9.4517160543708019E-3</v>
      </c>
      <c r="J110" s="4">
        <v>2.476353386333615E-2</v>
      </c>
      <c r="K110" s="4">
        <v>4.8405656994959783E-3</v>
      </c>
      <c r="L110" s="7">
        <v>5.9823810381132304E-2</v>
      </c>
      <c r="AC110" s="7"/>
    </row>
    <row r="111" spans="1:29">
      <c r="A111" s="7"/>
      <c r="D111" s="3">
        <v>3.125784031099392E-2</v>
      </c>
      <c r="E111" s="3">
        <v>2.6760717550408313E-2</v>
      </c>
      <c r="F111" s="3">
        <v>0.15567665512985154</v>
      </c>
      <c r="G111" s="3">
        <v>0.12461568289626557</v>
      </c>
      <c r="H111" s="3">
        <v>0.15862380667756856</v>
      </c>
      <c r="I111" s="3">
        <v>0.12678079048615776</v>
      </c>
      <c r="J111" s="3">
        <v>0.31646169197011842</v>
      </c>
      <c r="K111" s="3">
        <v>5.9823810381132304E-2</v>
      </c>
      <c r="L111" s="7">
        <v>1.0000009954024964</v>
      </c>
      <c r="AC111" s="7"/>
    </row>
    <row r="112" spans="1:29">
      <c r="A112" s="7"/>
      <c r="L112" s="7"/>
      <c r="M112" s="7"/>
      <c r="N112" s="7"/>
      <c r="O112" s="7"/>
      <c r="P112" s="7"/>
      <c r="Q112" s="7"/>
      <c r="R112" s="7"/>
      <c r="S112" s="7"/>
      <c r="T112" s="7"/>
      <c r="U112" s="7"/>
      <c r="V112" s="7"/>
      <c r="W112" s="7"/>
      <c r="X112" s="7"/>
      <c r="Y112" s="7"/>
      <c r="Z112" s="7"/>
      <c r="AA112" s="7"/>
      <c r="AB112" s="7"/>
      <c r="AC112" s="7"/>
    </row>
    <row r="113" spans="1:29">
      <c r="A113" s="7"/>
      <c r="C113" s="1" t="s">
        <v>34</v>
      </c>
      <c r="N113" t="s">
        <v>36</v>
      </c>
      <c r="O113" s="8">
        <v>0.66169009951497704</v>
      </c>
      <c r="W113" t="s">
        <v>54</v>
      </c>
      <c r="Y113" t="s">
        <v>60</v>
      </c>
      <c r="AC113" s="7"/>
    </row>
    <row r="114" spans="1:29">
      <c r="A114" s="7"/>
      <c r="C114" s="1"/>
      <c r="D114" s="1" t="s">
        <v>13</v>
      </c>
      <c r="E114" s="1" t="s">
        <v>14</v>
      </c>
      <c r="F114" s="1" t="s">
        <v>15</v>
      </c>
      <c r="G114" s="1" t="s">
        <v>16</v>
      </c>
      <c r="H114" s="1" t="s">
        <v>17</v>
      </c>
      <c r="I114" s="1" t="s">
        <v>18</v>
      </c>
      <c r="J114" s="1" t="s">
        <v>19</v>
      </c>
      <c r="K114" s="1" t="s">
        <v>20</v>
      </c>
      <c r="N114" t="s">
        <v>37</v>
      </c>
      <c r="O114" s="8">
        <v>0.65657784037736799</v>
      </c>
      <c r="R114" t="s">
        <v>58</v>
      </c>
      <c r="W114" s="1" t="s">
        <v>45</v>
      </c>
      <c r="X114" s="7" t="s">
        <v>47</v>
      </c>
      <c r="Y114" s="7" t="s">
        <v>48</v>
      </c>
      <c r="Z114" s="7" t="s">
        <v>49</v>
      </c>
      <c r="AA114" s="7" t="s">
        <v>50</v>
      </c>
      <c r="AB114" s="7"/>
      <c r="AC114" s="7"/>
    </row>
    <row r="115" spans="1:29">
      <c r="A115" s="7"/>
      <c r="C115" s="1" t="s">
        <v>13</v>
      </c>
      <c r="D115" s="5">
        <v>25.705835102223027</v>
      </c>
      <c r="E115" s="5">
        <v>5.0817874611704195</v>
      </c>
      <c r="F115" s="5">
        <v>96.600205331390725</v>
      </c>
      <c r="G115" s="5">
        <v>21.183064453319204</v>
      </c>
      <c r="H115" s="5">
        <v>91.888722195766121</v>
      </c>
      <c r="I115" s="5">
        <v>20.212922628807995</v>
      </c>
      <c r="J115" s="5">
        <v>44.643509544808552</v>
      </c>
      <c r="K115" s="5">
        <v>7.2623563924532135</v>
      </c>
      <c r="L115" s="12">
        <v>312.5784031099393</v>
      </c>
      <c r="N115" t="s">
        <v>38</v>
      </c>
      <c r="O115" s="8">
        <v>0.33798100131396402</v>
      </c>
      <c r="W115" s="1" t="s">
        <v>13</v>
      </c>
      <c r="X115" s="5">
        <v>312.5784031099393</v>
      </c>
      <c r="Y115" s="5">
        <v>25.705835102223027</v>
      </c>
      <c r="Z115" s="5">
        <v>286.87256800771627</v>
      </c>
      <c r="AA115" s="8">
        <v>0.11319894430212853</v>
      </c>
      <c r="AB115" s="8">
        <v>0.51268271396207876</v>
      </c>
      <c r="AC115" s="7"/>
    </row>
    <row r="116" spans="1:29">
      <c r="A116" s="7"/>
      <c r="C116" s="1" t="s">
        <v>14</v>
      </c>
      <c r="D116" s="5">
        <v>5.0817874611704195</v>
      </c>
      <c r="E116" s="5">
        <v>18.994241165225514</v>
      </c>
      <c r="F116" s="5">
        <v>21.183064453319201</v>
      </c>
      <c r="G116" s="5">
        <v>89.728838115767388</v>
      </c>
      <c r="H116" s="5">
        <v>20.212922628807995</v>
      </c>
      <c r="I116" s="5">
        <v>85.906825138608014</v>
      </c>
      <c r="J116" s="5">
        <v>7.2623563924532135</v>
      </c>
      <c r="K116" s="5">
        <v>19.237140148731374</v>
      </c>
      <c r="L116" s="12">
        <v>267.60717550408316</v>
      </c>
      <c r="M116" s="10" t="s">
        <v>39</v>
      </c>
      <c r="N116" s="10">
        <v>1</v>
      </c>
      <c r="O116" s="10">
        <v>2</v>
      </c>
      <c r="P116" s="10" t="s">
        <v>39</v>
      </c>
      <c r="Q116" s="10">
        <v>1</v>
      </c>
      <c r="R116" s="10">
        <v>2</v>
      </c>
      <c r="S116" s="10" t="s">
        <v>11</v>
      </c>
      <c r="T116" s="10" t="s">
        <v>42</v>
      </c>
      <c r="U116" s="10" t="s">
        <v>43</v>
      </c>
      <c r="V116" s="10"/>
      <c r="W116" s="1" t="s">
        <v>14</v>
      </c>
      <c r="X116" s="5">
        <v>267.60717550408316</v>
      </c>
      <c r="Y116" s="5">
        <v>18.994241165225514</v>
      </c>
      <c r="Z116" s="5">
        <v>248.61293433885766</v>
      </c>
      <c r="AA116" s="8">
        <v>0.47201044135129566</v>
      </c>
      <c r="AB116" s="8">
        <v>0.6398947547093482</v>
      </c>
      <c r="AC116" s="7"/>
    </row>
    <row r="117" spans="1:29">
      <c r="A117" s="7"/>
      <c r="C117" s="1" t="s">
        <v>15</v>
      </c>
      <c r="D117" s="5">
        <v>96.600205331390725</v>
      </c>
      <c r="E117" s="5">
        <v>21.183064453319204</v>
      </c>
      <c r="F117" s="5">
        <v>845.26975856639262</v>
      </c>
      <c r="G117" s="5">
        <v>185.91089288207556</v>
      </c>
      <c r="H117" s="5">
        <v>44.643509544808552</v>
      </c>
      <c r="I117" s="5">
        <v>7.2623563924532153</v>
      </c>
      <c r="J117" s="5">
        <v>310.63016579053897</v>
      </c>
      <c r="K117" s="5">
        <v>45.266598337536706</v>
      </c>
      <c r="L117" s="12">
        <v>1556.7665512985154</v>
      </c>
      <c r="M117" s="10">
        <v>1</v>
      </c>
      <c r="N117" s="5">
        <v>2519.3726440895921</v>
      </c>
      <c r="O117" s="5">
        <v>863.73631478560185</v>
      </c>
      <c r="P117" s="10">
        <v>1</v>
      </c>
      <c r="Q117">
        <v>1.6119327479356717E-2</v>
      </c>
      <c r="R117">
        <v>6.1084756992025722E-2</v>
      </c>
      <c r="S117" s="23">
        <v>0.49067353663714242</v>
      </c>
      <c r="T117">
        <v>0.51637299105057288</v>
      </c>
      <c r="U117" s="23">
        <v>0.48362700894942712</v>
      </c>
      <c r="W117" s="1" t="s">
        <v>15</v>
      </c>
      <c r="X117" s="5">
        <v>1556.7665512985154</v>
      </c>
      <c r="Y117" s="5">
        <v>845.26975856639262</v>
      </c>
      <c r="Z117" s="5">
        <v>711.4967927321228</v>
      </c>
      <c r="AA117" s="8">
        <v>0.16278656925345494</v>
      </c>
      <c r="AB117" s="8">
        <v>2.1925561043415756</v>
      </c>
      <c r="AC117" s="7"/>
    </row>
    <row r="118" spans="1:29">
      <c r="A118" s="7"/>
      <c r="C118" s="1" t="s">
        <v>16</v>
      </c>
      <c r="D118" s="5">
        <v>21.183064453319204</v>
      </c>
      <c r="E118" s="5">
        <v>89.728838115767388</v>
      </c>
      <c r="F118" s="5">
        <v>185.91089288207553</v>
      </c>
      <c r="G118" s="5">
        <v>790.02710386166575</v>
      </c>
      <c r="H118" s="5">
        <v>7.2623563924532153</v>
      </c>
      <c r="I118" s="5">
        <v>19.237140148731378</v>
      </c>
      <c r="J118" s="5">
        <v>45.266598337536706</v>
      </c>
      <c r="K118" s="5">
        <v>87.540834771106702</v>
      </c>
      <c r="L118" s="12">
        <v>1246.1568289626559</v>
      </c>
      <c r="M118" s="10">
        <v>2</v>
      </c>
      <c r="N118" s="5">
        <v>863.73631478560185</v>
      </c>
      <c r="O118" s="5">
        <v>5753.164680364167</v>
      </c>
      <c r="P118" s="10">
        <v>2</v>
      </c>
      <c r="Q118">
        <v>0.36420474256896745</v>
      </c>
      <c r="R118">
        <v>4.9264709596792508E-2</v>
      </c>
      <c r="W118" s="1" t="s">
        <v>16</v>
      </c>
      <c r="X118" s="5">
        <v>1246.1568289626559</v>
      </c>
      <c r="Y118" s="5">
        <v>790.02710386166575</v>
      </c>
      <c r="Z118" s="5">
        <v>456.12972510099019</v>
      </c>
      <c r="AA118" s="8">
        <v>0.99045072572984583</v>
      </c>
      <c r="AB118" s="8">
        <v>7.5548962265756706E-2</v>
      </c>
      <c r="AC118" s="7"/>
    </row>
    <row r="119" spans="1:29">
      <c r="A119" s="7"/>
      <c r="C119" s="1" t="s">
        <v>17</v>
      </c>
      <c r="D119" s="5">
        <v>91.888722195766107</v>
      </c>
      <c r="E119" s="5">
        <v>20.212922628807995</v>
      </c>
      <c r="F119" s="5">
        <v>44.643509544808552</v>
      </c>
      <c r="G119" s="5">
        <v>7.2623563924532135</v>
      </c>
      <c r="H119" s="5">
        <v>854.36933488703983</v>
      </c>
      <c r="I119" s="5">
        <v>188.50988400237787</v>
      </c>
      <c r="J119" s="5">
        <v>330.97831913496611</v>
      </c>
      <c r="K119" s="5">
        <v>48.373017989465737</v>
      </c>
      <c r="L119" s="12">
        <v>1586.2380667756854</v>
      </c>
      <c r="M119" s="10" t="s">
        <v>40</v>
      </c>
      <c r="N119" s="10">
        <v>1</v>
      </c>
      <c r="O119" s="10">
        <v>2</v>
      </c>
      <c r="P119" s="10" t="s">
        <v>40</v>
      </c>
      <c r="Q119" s="10">
        <v>1</v>
      </c>
      <c r="R119" s="10">
        <v>2</v>
      </c>
      <c r="S119" s="10" t="s">
        <v>11</v>
      </c>
      <c r="T119" s="10" t="s">
        <v>42</v>
      </c>
      <c r="U119" s="10" t="s">
        <v>43</v>
      </c>
      <c r="W119" s="1" t="s">
        <v>17</v>
      </c>
      <c r="X119" s="5">
        <v>1586.2380667756854</v>
      </c>
      <c r="Y119" s="5">
        <v>854.36933488703983</v>
      </c>
      <c r="Z119" s="5">
        <v>731.86873188864558</v>
      </c>
      <c r="AA119" s="8">
        <v>0.13227422395590807</v>
      </c>
      <c r="AB119" s="8">
        <v>0.61012374560891058</v>
      </c>
      <c r="AC119" s="7"/>
    </row>
    <row r="120" spans="1:29">
      <c r="A120" s="7"/>
      <c r="C120" s="1" t="s">
        <v>18</v>
      </c>
      <c r="D120" s="5">
        <v>20.212922628807991</v>
      </c>
      <c r="E120" s="5">
        <v>85.906825138608014</v>
      </c>
      <c r="F120" s="5">
        <v>7.2623563924532135</v>
      </c>
      <c r="G120" s="5">
        <v>19.237140148731378</v>
      </c>
      <c r="H120" s="5">
        <v>188.50988400237787</v>
      </c>
      <c r="I120" s="5">
        <v>803.78859801742522</v>
      </c>
      <c r="J120" s="5">
        <v>48.373017989465744</v>
      </c>
      <c r="K120" s="5">
        <v>94.517160543708016</v>
      </c>
      <c r="L120" s="12">
        <v>1267.8079048615775</v>
      </c>
      <c r="M120" s="10">
        <v>1</v>
      </c>
      <c r="N120" s="5">
        <v>2526.4841372829906</v>
      </c>
      <c r="O120" s="5">
        <v>907.74741296829473</v>
      </c>
      <c r="P120" s="10">
        <v>1</v>
      </c>
      <c r="Q120">
        <v>4.8926848431158076E-3</v>
      </c>
      <c r="R120">
        <v>0.27318283880659017</v>
      </c>
      <c r="S120" s="23">
        <v>0.34038507377001076</v>
      </c>
      <c r="T120">
        <v>0.4403929656548492</v>
      </c>
      <c r="U120" s="23">
        <v>0.5596070343451508</v>
      </c>
      <c r="W120" s="1" t="s">
        <v>18</v>
      </c>
      <c r="X120" s="5">
        <v>1267.8079048615775</v>
      </c>
      <c r="Y120" s="5">
        <v>803.78859801742522</v>
      </c>
      <c r="Z120" s="5">
        <v>464.01930684415231</v>
      </c>
      <c r="AA120" s="8">
        <v>0.50821916497548048</v>
      </c>
      <c r="AB120" s="8">
        <v>7.5067535531104825</v>
      </c>
      <c r="AC120" s="7"/>
    </row>
    <row r="121" spans="1:29">
      <c r="A121" s="7"/>
      <c r="C121" s="1" t="s">
        <v>19</v>
      </c>
      <c r="D121" s="5">
        <v>44.643509544808552</v>
      </c>
      <c r="E121" s="5">
        <v>7.2623563924532135</v>
      </c>
      <c r="F121" s="5">
        <v>310.63016579053897</v>
      </c>
      <c r="G121" s="5">
        <v>45.266598337536706</v>
      </c>
      <c r="H121" s="5">
        <v>330.97831913496617</v>
      </c>
      <c r="I121" s="5">
        <v>48.373017989465751</v>
      </c>
      <c r="J121" s="5">
        <v>2129.8276138780534</v>
      </c>
      <c r="K121" s="5">
        <v>247.6353386333615</v>
      </c>
      <c r="L121" s="12">
        <v>3164.6169197011845</v>
      </c>
      <c r="M121" s="10">
        <v>2</v>
      </c>
      <c r="N121" s="5">
        <v>907.74741296829495</v>
      </c>
      <c r="O121" s="5">
        <v>5658.0309908053832</v>
      </c>
      <c r="P121" s="10">
        <v>2</v>
      </c>
      <c r="Q121">
        <v>5.794565525717825E-2</v>
      </c>
      <c r="R121">
        <v>4.3638948631264801E-3</v>
      </c>
      <c r="W121" s="1" t="s">
        <v>19</v>
      </c>
      <c r="X121" s="5">
        <v>3164.6169197011845</v>
      </c>
      <c r="Y121" s="5">
        <v>2129.8276138780534</v>
      </c>
      <c r="Z121" s="5">
        <v>1034.7893058231311</v>
      </c>
      <c r="AA121" s="8">
        <v>3.1358357122892228E-2</v>
      </c>
      <c r="AB121" s="8">
        <v>0.27240404248128669</v>
      </c>
      <c r="AC121" s="7"/>
    </row>
    <row r="122" spans="1:29">
      <c r="A122" s="7"/>
      <c r="C122" s="1" t="s">
        <v>20</v>
      </c>
      <c r="D122" s="5">
        <v>7.2623563924532135</v>
      </c>
      <c r="E122" s="5">
        <v>19.237140148731374</v>
      </c>
      <c r="F122" s="5">
        <v>45.266598337536706</v>
      </c>
      <c r="G122" s="5">
        <v>87.540834771106674</v>
      </c>
      <c r="H122" s="5">
        <v>48.373017989465751</v>
      </c>
      <c r="I122" s="5">
        <v>94.517160543708016</v>
      </c>
      <c r="J122" s="5">
        <v>247.6353386333615</v>
      </c>
      <c r="K122" s="5">
        <v>48.405656994959784</v>
      </c>
      <c r="L122" s="12">
        <v>598.23810381132307</v>
      </c>
      <c r="M122" s="10" t="s">
        <v>41</v>
      </c>
      <c r="N122" s="10">
        <v>1</v>
      </c>
      <c r="O122" s="10">
        <v>2</v>
      </c>
      <c r="P122" s="10" t="s">
        <v>41</v>
      </c>
      <c r="Q122" s="10">
        <v>1</v>
      </c>
      <c r="R122" s="10">
        <v>2</v>
      </c>
      <c r="S122" s="10" t="s">
        <v>11</v>
      </c>
      <c r="T122" s="10" t="s">
        <v>42</v>
      </c>
      <c r="U122" s="10" t="s">
        <v>43</v>
      </c>
      <c r="W122" s="1" t="s">
        <v>20</v>
      </c>
      <c r="X122" s="5">
        <v>598.23810381132307</v>
      </c>
      <c r="Y122" s="5">
        <v>48.405656994959784</v>
      </c>
      <c r="Z122" s="5">
        <v>549.83244681636324</v>
      </c>
      <c r="AA122" s="8">
        <v>7.2975687051828496E-3</v>
      </c>
      <c r="AB122" s="8">
        <v>0.36505587179036314</v>
      </c>
      <c r="AC122" s="7"/>
    </row>
    <row r="123" spans="1:29">
      <c r="A123" s="7"/>
      <c r="D123" s="12">
        <v>312.57840310993919</v>
      </c>
      <c r="E123" s="12">
        <v>267.60717550408316</v>
      </c>
      <c r="F123" s="12">
        <v>1556.7665512985154</v>
      </c>
      <c r="G123" s="12">
        <v>1246.1568289626557</v>
      </c>
      <c r="H123" s="12">
        <v>1586.2380667756854</v>
      </c>
      <c r="I123" s="12">
        <v>1267.8079048615775</v>
      </c>
      <c r="J123" s="12">
        <v>3164.6169197011845</v>
      </c>
      <c r="K123" s="12">
        <v>598.23810381132307</v>
      </c>
      <c r="L123" s="1">
        <v>10000.009954024965</v>
      </c>
      <c r="M123" s="10">
        <v>1</v>
      </c>
      <c r="N123" s="5">
        <v>5693.9414055182679</v>
      </c>
      <c r="O123" s="5">
        <v>926.25853536705745</v>
      </c>
      <c r="P123" s="10">
        <v>1</v>
      </c>
      <c r="Q123">
        <v>2.1477655494114702E-2</v>
      </c>
      <c r="R123">
        <v>2.9853645770331286E-2</v>
      </c>
      <c r="S123" s="23">
        <v>0.17301263410246429</v>
      </c>
      <c r="T123">
        <v>0.32255185347584903</v>
      </c>
      <c r="U123" s="23">
        <v>0.67744814652415097</v>
      </c>
      <c r="W123" s="1" t="s">
        <v>59</v>
      </c>
      <c r="X123" s="7">
        <v>10000.009954024965</v>
      </c>
      <c r="Y123" s="7">
        <v>5516.3881424729852</v>
      </c>
      <c r="Z123" s="7">
        <v>4483.6218115519787</v>
      </c>
      <c r="AA123" s="7">
        <v>2.4175959953961885</v>
      </c>
      <c r="AB123" s="7">
        <v>12.175019748269801</v>
      </c>
      <c r="AC123" s="11">
        <v>14.59261574366599</v>
      </c>
    </row>
    <row r="124" spans="1:29">
      <c r="A124" s="7"/>
      <c r="M124" s="10">
        <v>2</v>
      </c>
      <c r="N124" s="5">
        <v>926.25853536705745</v>
      </c>
      <c r="O124" s="5">
        <v>2453.5514777725821</v>
      </c>
      <c r="P124" s="10">
        <v>2</v>
      </c>
      <c r="Q124">
        <v>0.11361573886654117</v>
      </c>
      <c r="R124">
        <v>8.065593971477129E-3</v>
      </c>
      <c r="AC124" s="7" t="s">
        <v>51</v>
      </c>
    </row>
    <row r="125" spans="1:29">
      <c r="A125" s="7"/>
      <c r="C125" s="1" t="s">
        <v>35</v>
      </c>
      <c r="L125" s="7"/>
      <c r="M125" s="7"/>
      <c r="N125" s="7"/>
      <c r="O125" s="7"/>
      <c r="P125" s="7"/>
      <c r="Q125" s="7"/>
      <c r="R125" s="7"/>
      <c r="S125" s="7"/>
      <c r="T125" s="7"/>
      <c r="U125" s="7"/>
      <c r="V125" s="7"/>
      <c r="W125" s="7"/>
      <c r="X125" s="7"/>
      <c r="Y125" s="7"/>
      <c r="Z125" s="7"/>
      <c r="AA125" s="7"/>
      <c r="AB125" s="7"/>
      <c r="AC125" s="7"/>
    </row>
    <row r="126" spans="1:29">
      <c r="A126" s="7"/>
      <c r="C126" s="1"/>
      <c r="D126" s="1" t="s">
        <v>13</v>
      </c>
      <c r="E126" s="1" t="s">
        <v>14</v>
      </c>
      <c r="F126" s="1" t="s">
        <v>15</v>
      </c>
      <c r="G126" s="1" t="s">
        <v>16</v>
      </c>
      <c r="H126" s="1" t="s">
        <v>17</v>
      </c>
      <c r="I126" s="1" t="s">
        <v>18</v>
      </c>
      <c r="J126" s="1" t="s">
        <v>19</v>
      </c>
      <c r="K126" s="1" t="s">
        <v>20</v>
      </c>
      <c r="AC126" s="7"/>
    </row>
    <row r="127" spans="1:29">
      <c r="A127" s="7"/>
      <c r="C127" s="1" t="s">
        <v>13</v>
      </c>
      <c r="D127" s="8">
        <v>-1.6479403814667712</v>
      </c>
      <c r="E127" s="8">
        <v>2.2417296084320921</v>
      </c>
      <c r="F127" s="8">
        <v>6.607256507255765</v>
      </c>
      <c r="G127" s="8">
        <v>6.5511409531276561</v>
      </c>
      <c r="H127" s="8">
        <v>-12.781819200037402</v>
      </c>
      <c r="I127" s="8">
        <v>2.9709578851999057</v>
      </c>
      <c r="J127" s="8">
        <v>10.274856088294825</v>
      </c>
      <c r="K127" s="8">
        <v>-0.25755939357791346</v>
      </c>
      <c r="L127" s="13">
        <v>13.958622067228159</v>
      </c>
      <c r="Q127" s="5">
        <v>16.768503882693757</v>
      </c>
      <c r="R127" s="5">
        <v>1.8287983393357372</v>
      </c>
      <c r="S127" s="5">
        <v>1.8696750721858142</v>
      </c>
      <c r="T127" s="5">
        <v>0.20628165683771713</v>
      </c>
      <c r="U127" s="5">
        <v>1.8696750721803534</v>
      </c>
      <c r="V127" s="5">
        <v>0.20628165683712887</v>
      </c>
      <c r="W127" s="5">
        <v>0.4468857842872459</v>
      </c>
      <c r="X127" s="5">
        <v>7.0579342081489874E-2</v>
      </c>
      <c r="AC127" s="7"/>
    </row>
    <row r="128" spans="1:29">
      <c r="A128" s="7"/>
      <c r="C128" s="1" t="s">
        <v>14</v>
      </c>
      <c r="D128" s="8">
        <v>0.99657844254967165</v>
      </c>
      <c r="E128" s="8">
        <v>-2.7447538306645249</v>
      </c>
      <c r="F128" s="8">
        <v>-3.7398074211486532</v>
      </c>
      <c r="G128" s="8">
        <v>-13.447807426425136</v>
      </c>
      <c r="H128" s="8">
        <v>7.8168977650905997</v>
      </c>
      <c r="I128" s="8">
        <v>9.3225372034186391E-2</v>
      </c>
      <c r="J128" s="8">
        <v>3.1988074485617322</v>
      </c>
      <c r="K128" s="8">
        <v>-3.7318888825329974</v>
      </c>
      <c r="L128" s="13">
        <v>-11.558748532535121</v>
      </c>
      <c r="Q128" s="5">
        <v>1.8287983393357368</v>
      </c>
      <c r="R128" s="5">
        <v>0.20184340924122293</v>
      </c>
      <c r="S128" s="5">
        <v>0.20628165683771707</v>
      </c>
      <c r="T128" s="5">
        <v>4.4517040304477992E-2</v>
      </c>
      <c r="U128" s="5">
        <v>0.20628165683712882</v>
      </c>
      <c r="V128" s="5">
        <v>4.4517040304480074E-2</v>
      </c>
      <c r="W128" s="5">
        <v>7.0579342081489874E-2</v>
      </c>
      <c r="X128" s="5">
        <v>0.20805572620986967</v>
      </c>
      <c r="AC128" s="7"/>
    </row>
    <row r="129" spans="1:29">
      <c r="A129" s="7"/>
      <c r="C129" s="1" t="s">
        <v>15</v>
      </c>
      <c r="D129" s="8">
        <v>-0.59833683188466658</v>
      </c>
      <c r="E129" s="8">
        <v>-2.9309446438618543</v>
      </c>
      <c r="F129" s="8">
        <v>11.811260797104229</v>
      </c>
      <c r="G129" s="8">
        <v>-12.451829644353781</v>
      </c>
      <c r="H129" s="8">
        <v>6.7889516442188507</v>
      </c>
      <c r="I129" s="8">
        <v>6.0264276198015327</v>
      </c>
      <c r="J129" s="8">
        <v>-27.268259616277884</v>
      </c>
      <c r="K129" s="8">
        <v>-4.9475985144546879</v>
      </c>
      <c r="L129" s="13">
        <v>-23.570329189708261</v>
      </c>
      <c r="Q129" s="5">
        <v>1.8696750721858142</v>
      </c>
      <c r="R129" s="5">
        <v>0.20628165683771713</v>
      </c>
      <c r="S129" s="5">
        <v>0.44688578428712034</v>
      </c>
      <c r="T129" s="5">
        <v>7.0579342081410479E-2</v>
      </c>
      <c r="U129" s="5">
        <v>0.44688578428724579</v>
      </c>
      <c r="V129" s="5">
        <v>7.0579342081489874E-2</v>
      </c>
      <c r="W129" s="5">
        <v>2.2451109821393098</v>
      </c>
      <c r="X129" s="5">
        <v>0.44359109081173848</v>
      </c>
      <c r="AC129" s="7"/>
    </row>
    <row r="130" spans="1:29">
      <c r="A130" s="7"/>
      <c r="C130" s="1" t="s">
        <v>16</v>
      </c>
      <c r="D130" s="8">
        <v>-2.9309446438618543</v>
      </c>
      <c r="E130" s="8">
        <v>-5.5419347518078945</v>
      </c>
      <c r="F130" s="8">
        <v>-11.520920917537223</v>
      </c>
      <c r="G130" s="8">
        <v>28.4623779304472</v>
      </c>
      <c r="H130" s="8">
        <v>9.1889417406834042</v>
      </c>
      <c r="I130" s="8">
        <v>5.309064889844854</v>
      </c>
      <c r="J130" s="8">
        <v>7.2110636835184412</v>
      </c>
      <c r="K130" s="8">
        <v>8.8553110913850208</v>
      </c>
      <c r="L130" s="13">
        <v>39.032959022671946</v>
      </c>
      <c r="Q130" s="5">
        <v>0.20628165683771707</v>
      </c>
      <c r="R130" s="5">
        <v>4.4517040304477999E-2</v>
      </c>
      <c r="S130" s="5">
        <v>7.0579342081410479E-2</v>
      </c>
      <c r="T130" s="5">
        <v>0.20805572620925852</v>
      </c>
      <c r="U130" s="5">
        <v>7.0579342081489874E-2</v>
      </c>
      <c r="V130" s="5">
        <v>0.20805572620986967</v>
      </c>
      <c r="W130" s="5">
        <v>0.44359109081173848</v>
      </c>
      <c r="X130" s="5">
        <v>1.8711957230700675</v>
      </c>
      <c r="AC130" s="7"/>
    </row>
    <row r="131" spans="1:29">
      <c r="A131" s="7"/>
      <c r="C131" s="1" t="s">
        <v>17</v>
      </c>
      <c r="D131" s="8">
        <v>-5.6958666329290688</v>
      </c>
      <c r="E131" s="8">
        <v>-5.1417072608814891</v>
      </c>
      <c r="F131" s="8">
        <v>-0.63884919559175624</v>
      </c>
      <c r="G131" s="8">
        <v>-0.25755939357791346</v>
      </c>
      <c r="H131" s="8">
        <v>10.696529610691231</v>
      </c>
      <c r="I131" s="8">
        <v>28.26983133150339</v>
      </c>
      <c r="J131" s="8">
        <v>6.0761296212895592</v>
      </c>
      <c r="K131" s="8">
        <v>1.6540413355778518</v>
      </c>
      <c r="L131" s="13">
        <v>34.962549416081806</v>
      </c>
      <c r="Q131" s="5">
        <v>1.8696750721803532</v>
      </c>
      <c r="R131" s="5">
        <v>0.20628165683712882</v>
      </c>
      <c r="S131" s="5">
        <v>0.4468857842872459</v>
      </c>
      <c r="T131" s="5">
        <v>7.0579342081489874E-2</v>
      </c>
      <c r="U131" s="5">
        <v>0.44688578428737158</v>
      </c>
      <c r="V131" s="5">
        <v>7.0579342081569268E-2</v>
      </c>
      <c r="W131" s="5">
        <v>2.2451109821459276</v>
      </c>
      <c r="X131" s="5">
        <v>0.44359109081305781</v>
      </c>
      <c r="AC131" s="7"/>
    </row>
    <row r="132" spans="1:29">
      <c r="A132" s="7"/>
      <c r="C132" s="1" t="s">
        <v>18</v>
      </c>
      <c r="D132" s="8">
        <v>4.121560713216228</v>
      </c>
      <c r="E132" s="8">
        <v>-3.8166107089002326</v>
      </c>
      <c r="F132" s="8">
        <v>3.1988074485617322</v>
      </c>
      <c r="G132" s="8">
        <v>-4.4489964911814539</v>
      </c>
      <c r="H132" s="8">
        <v>-31.933015429466419</v>
      </c>
      <c r="I132" s="8">
        <v>20.463408069438508</v>
      </c>
      <c r="J132" s="8">
        <v>-6.7801745925035402</v>
      </c>
      <c r="K132" s="8">
        <v>-12.500912768104071</v>
      </c>
      <c r="L132" s="13">
        <v>-31.695933758939255</v>
      </c>
      <c r="Q132" s="5">
        <v>0.20628165683712879</v>
      </c>
      <c r="R132" s="5">
        <v>4.4517040304480074E-2</v>
      </c>
      <c r="S132" s="5">
        <v>7.0579342081489874E-2</v>
      </c>
      <c r="T132" s="5">
        <v>0.20805572620986967</v>
      </c>
      <c r="U132" s="5">
        <v>7.0579342081569268E-2</v>
      </c>
      <c r="V132" s="5">
        <v>0.20805572621048085</v>
      </c>
      <c r="W132" s="5">
        <v>0.4435910908130577</v>
      </c>
      <c r="X132" s="5">
        <v>1.8711957230756926</v>
      </c>
      <c r="AC132" s="7"/>
    </row>
    <row r="133" spans="1:29">
      <c r="A133" s="7"/>
      <c r="C133" s="1" t="s">
        <v>19</v>
      </c>
      <c r="D133" s="8">
        <v>3.4796197003112201</v>
      </c>
      <c r="E133" s="8">
        <v>-1.8663321785188602</v>
      </c>
      <c r="F133" s="8">
        <v>1.3728501650064233</v>
      </c>
      <c r="G133" s="8">
        <v>-1.2487104545098604</v>
      </c>
      <c r="H133" s="8">
        <v>-0.97687183058018046</v>
      </c>
      <c r="I133" s="8">
        <v>7.0615053583734877</v>
      </c>
      <c r="J133" s="8">
        <v>8.188045284642433</v>
      </c>
      <c r="K133" s="8">
        <v>-22.46970957541544</v>
      </c>
      <c r="L133" s="13">
        <v>-6.4596035306907744</v>
      </c>
      <c r="Q133" s="5">
        <v>0.44688578428724601</v>
      </c>
      <c r="R133" s="5">
        <v>7.0579342081489888E-2</v>
      </c>
      <c r="S133" s="5">
        <v>2.2451109821393098</v>
      </c>
      <c r="T133" s="5">
        <v>0.44359109081173848</v>
      </c>
      <c r="U133" s="5">
        <v>2.2451109821459276</v>
      </c>
      <c r="V133" s="5">
        <v>0.44359109081305781</v>
      </c>
      <c r="W133" s="5">
        <v>20.225401597751961</v>
      </c>
      <c r="X133" s="5">
        <v>4.0138701939653778</v>
      </c>
      <c r="AC133" s="7"/>
    </row>
    <row r="134" spans="1:29">
      <c r="A134" s="7"/>
      <c r="C134" s="1" t="s">
        <v>20</v>
      </c>
      <c r="D134" s="8">
        <v>-2.3856399480719275</v>
      </c>
      <c r="E134" s="8">
        <v>-5.0946146655240163</v>
      </c>
      <c r="F134" s="8">
        <v>6.0820670032001356</v>
      </c>
      <c r="G134" s="8">
        <v>0.46036732534888547</v>
      </c>
      <c r="H134" s="8">
        <v>1.6540413355778303</v>
      </c>
      <c r="I134" s="8">
        <v>-1.5049183661442276</v>
      </c>
      <c r="J134" s="8">
        <v>17.95973122741918</v>
      </c>
      <c r="K134" s="8">
        <v>0.5979769466846806</v>
      </c>
      <c r="L134" s="13">
        <v>17.769010858490542</v>
      </c>
      <c r="Q134" s="5">
        <v>7.0579342081489874E-2</v>
      </c>
      <c r="R134" s="5">
        <v>0.20805572620986973</v>
      </c>
      <c r="S134" s="5">
        <v>0.44359109081173848</v>
      </c>
      <c r="T134" s="5">
        <v>1.8711957230700678</v>
      </c>
      <c r="U134" s="5">
        <v>0.44359109081305781</v>
      </c>
      <c r="V134" s="5">
        <v>1.8711957230756928</v>
      </c>
      <c r="W134" s="5">
        <v>4.0138701939653769</v>
      </c>
      <c r="X134" s="5">
        <v>17.021335623739883</v>
      </c>
      <c r="AC134" s="7"/>
    </row>
    <row r="135" spans="1:29">
      <c r="A135" s="7"/>
      <c r="D135" s="13">
        <v>-4.6609695821371684</v>
      </c>
      <c r="E135" s="13">
        <v>-24.895168431726781</v>
      </c>
      <c r="F135" s="13">
        <v>13.172664386850652</v>
      </c>
      <c r="G135" s="13">
        <v>3.6189827988755954</v>
      </c>
      <c r="H135" s="13">
        <v>-9.5463443638220831</v>
      </c>
      <c r="I135" s="13">
        <v>68.689502160051646</v>
      </c>
      <c r="J135" s="13">
        <v>18.860199144944747</v>
      </c>
      <c r="K135" s="13">
        <v>-32.800339760437552</v>
      </c>
      <c r="L135" s="2">
        <v>64.877052705198082</v>
      </c>
      <c r="M135" t="s">
        <v>53</v>
      </c>
      <c r="Y135" s="22">
        <v>100.00000000000041</v>
      </c>
      <c r="AC135" s="7"/>
    </row>
    <row r="136" spans="1:29">
      <c r="A136" s="7"/>
      <c r="AC136" s="7"/>
    </row>
    <row r="137" spans="1:29">
      <c r="A137" s="7"/>
      <c r="AC137" s="7"/>
    </row>
    <row r="138" spans="1:29">
      <c r="A138" s="7"/>
      <c r="C138" t="s">
        <v>52</v>
      </c>
      <c r="Q138">
        <v>17</v>
      </c>
      <c r="R138">
        <v>2</v>
      </c>
      <c r="S138">
        <v>2</v>
      </c>
      <c r="T138">
        <v>0</v>
      </c>
      <c r="U138">
        <v>2</v>
      </c>
      <c r="V138">
        <v>0</v>
      </c>
      <c r="W138">
        <v>1</v>
      </c>
      <c r="X138">
        <v>0</v>
      </c>
      <c r="AC138" s="7"/>
    </row>
    <row r="139" spans="1:29">
      <c r="A139" s="7"/>
      <c r="C139" s="1"/>
      <c r="D139" s="1" t="s">
        <v>13</v>
      </c>
      <c r="E139" s="1" t="s">
        <v>14</v>
      </c>
      <c r="F139" s="1" t="s">
        <v>15</v>
      </c>
      <c r="G139" s="1" t="s">
        <v>16</v>
      </c>
      <c r="H139" s="1" t="s">
        <v>17</v>
      </c>
      <c r="I139" s="1" t="s">
        <v>18</v>
      </c>
      <c r="J139" s="1" t="s">
        <v>19</v>
      </c>
      <c r="K139" s="1" t="s">
        <v>20</v>
      </c>
      <c r="L139" s="7"/>
      <c r="Q139">
        <v>2</v>
      </c>
      <c r="R139">
        <v>0</v>
      </c>
      <c r="S139">
        <v>0</v>
      </c>
      <c r="T139">
        <v>0</v>
      </c>
      <c r="U139">
        <v>0</v>
      </c>
      <c r="V139">
        <v>0</v>
      </c>
      <c r="W139">
        <v>0</v>
      </c>
      <c r="X139">
        <v>0</v>
      </c>
      <c r="AC139" s="7"/>
    </row>
    <row r="140" spans="1:29">
      <c r="A140" s="7"/>
      <c r="C140" s="1" t="s">
        <v>13</v>
      </c>
      <c r="D140" s="8">
        <v>0.11319894430212853</v>
      </c>
      <c r="E140" s="8">
        <v>0.72406399760677242</v>
      </c>
      <c r="F140" s="8">
        <v>0.42398845488841203</v>
      </c>
      <c r="G140" s="8">
        <v>1.5973486380501798</v>
      </c>
      <c r="H140" s="8">
        <v>2.0992413391080373</v>
      </c>
      <c r="I140" s="8">
        <v>0.38429871897593187</v>
      </c>
      <c r="J140" s="8">
        <v>1.960955008481605</v>
      </c>
      <c r="K140" s="8">
        <v>9.4777607902293576E-3</v>
      </c>
      <c r="L140" s="14">
        <v>7.3125728622032957</v>
      </c>
      <c r="Q140">
        <v>2</v>
      </c>
      <c r="R140">
        <v>0</v>
      </c>
      <c r="S140">
        <v>1</v>
      </c>
      <c r="T140">
        <v>0</v>
      </c>
      <c r="U140">
        <v>1</v>
      </c>
      <c r="V140">
        <v>0</v>
      </c>
      <c r="W140">
        <v>2</v>
      </c>
      <c r="X140">
        <v>0</v>
      </c>
      <c r="AC140" s="7"/>
    </row>
    <row r="141" spans="1:29">
      <c r="A141" s="7"/>
      <c r="C141" s="1" t="s">
        <v>14</v>
      </c>
      <c r="D141" s="8">
        <v>0.16590899814406657</v>
      </c>
      <c r="E141" s="8">
        <v>0.47201044135129566</v>
      </c>
      <c r="F141" s="8">
        <v>0.82603856770500816</v>
      </c>
      <c r="G141" s="8">
        <v>2.4177140459635704</v>
      </c>
      <c r="H141" s="8">
        <v>2.2789588664874394</v>
      </c>
      <c r="I141" s="8">
        <v>1.0105780048801099E-4</v>
      </c>
      <c r="J141" s="8">
        <v>1.0319918380389601</v>
      </c>
      <c r="K141" s="8">
        <v>0.93326536591122644</v>
      </c>
      <c r="L141" s="14">
        <v>8.1259891814020548</v>
      </c>
      <c r="Q141">
        <v>0</v>
      </c>
      <c r="R141">
        <v>0</v>
      </c>
      <c r="S141">
        <v>0</v>
      </c>
      <c r="T141">
        <v>0</v>
      </c>
      <c r="U141">
        <v>0</v>
      </c>
      <c r="V141">
        <v>0</v>
      </c>
      <c r="W141">
        <v>1</v>
      </c>
      <c r="X141">
        <v>2</v>
      </c>
      <c r="AC141" s="7"/>
    </row>
    <row r="142" spans="1:29">
      <c r="A142" s="7"/>
      <c r="C142" s="1" t="s">
        <v>15</v>
      </c>
      <c r="D142" s="8">
        <v>3.7292512846531867E-3</v>
      </c>
      <c r="E142" s="8">
        <v>0.47830186875519337</v>
      </c>
      <c r="F142" s="8">
        <v>0.16278656925345494</v>
      </c>
      <c r="G142" s="8">
        <v>0.89661854896346793</v>
      </c>
      <c r="H142" s="8">
        <v>0.90505812197371349</v>
      </c>
      <c r="I142" s="8">
        <v>3.0906314340966854</v>
      </c>
      <c r="J142" s="8">
        <v>2.6387855510030231</v>
      </c>
      <c r="K142" s="8">
        <v>0.61274889361288332</v>
      </c>
      <c r="L142" s="14">
        <v>8.7886602389430752</v>
      </c>
      <c r="Q142">
        <v>2</v>
      </c>
      <c r="R142">
        <v>0</v>
      </c>
      <c r="S142">
        <v>0</v>
      </c>
      <c r="T142">
        <v>0</v>
      </c>
      <c r="U142">
        <v>1</v>
      </c>
      <c r="V142">
        <v>0</v>
      </c>
      <c r="W142">
        <v>2</v>
      </c>
      <c r="X142">
        <v>1</v>
      </c>
      <c r="AC142" s="7"/>
    </row>
    <row r="143" spans="1:29">
      <c r="A143" s="7"/>
      <c r="C143" s="1" t="s">
        <v>16</v>
      </c>
      <c r="D143" s="8">
        <v>0.47830186875519337</v>
      </c>
      <c r="E143" s="8">
        <v>0.36576408260547949</v>
      </c>
      <c r="F143" s="8">
        <v>0.76310412504051695</v>
      </c>
      <c r="G143" s="8">
        <v>0.99045072572984583</v>
      </c>
      <c r="H143" s="8">
        <v>6.2508418658012719</v>
      </c>
      <c r="I143" s="8">
        <v>1.1792207047117942</v>
      </c>
      <c r="J143" s="8">
        <v>1.0015927773054454</v>
      </c>
      <c r="K143" s="8">
        <v>0.81741825465588658</v>
      </c>
      <c r="L143" s="14">
        <v>11.846694404605433</v>
      </c>
      <c r="Q143">
        <v>0</v>
      </c>
      <c r="R143">
        <v>0</v>
      </c>
      <c r="S143">
        <v>0</v>
      </c>
      <c r="T143">
        <v>0</v>
      </c>
      <c r="U143">
        <v>0</v>
      </c>
      <c r="V143">
        <v>0</v>
      </c>
      <c r="W143">
        <v>0</v>
      </c>
      <c r="X143">
        <v>2</v>
      </c>
      <c r="AC143" s="7"/>
    </row>
    <row r="144" spans="1:29">
      <c r="A144" s="7"/>
      <c r="C144" s="1" t="s">
        <v>17</v>
      </c>
      <c r="D144" s="8">
        <v>0.37738090453614109</v>
      </c>
      <c r="E144" s="8">
        <v>1.909689573369272</v>
      </c>
      <c r="F144" s="8">
        <v>9.275806012609163E-3</v>
      </c>
      <c r="G144" s="8">
        <v>9.4777607902293576E-3</v>
      </c>
      <c r="H144" s="8">
        <v>0.13227422395590807</v>
      </c>
      <c r="I144" s="8">
        <v>3.7224904639940477</v>
      </c>
      <c r="J144" s="8">
        <v>0.1095559386943678</v>
      </c>
      <c r="K144" s="8">
        <v>5.4722044904838681E-2</v>
      </c>
      <c r="L144" s="14">
        <v>6.3248667162574144</v>
      </c>
      <c r="Q144">
        <v>1</v>
      </c>
      <c r="R144">
        <v>0</v>
      </c>
      <c r="S144">
        <v>2</v>
      </c>
      <c r="T144">
        <v>1</v>
      </c>
      <c r="U144">
        <v>2</v>
      </c>
      <c r="V144">
        <v>0</v>
      </c>
      <c r="W144">
        <v>20</v>
      </c>
      <c r="X144">
        <v>4</v>
      </c>
      <c r="AC144" s="7"/>
    </row>
    <row r="145" spans="1:29">
      <c r="A145" s="7"/>
      <c r="C145" s="1" t="s">
        <v>18</v>
      </c>
      <c r="D145" s="8">
        <v>0.70954385364113759</v>
      </c>
      <c r="E145" s="8">
        <v>0.17767252647310255</v>
      </c>
      <c r="F145" s="8">
        <v>1.0319918380389601</v>
      </c>
      <c r="G145" s="8">
        <v>1.4257647823636026</v>
      </c>
      <c r="H145" s="8">
        <v>6.6890490572177441</v>
      </c>
      <c r="I145" s="8">
        <v>0.50821916497548048</v>
      </c>
      <c r="J145" s="8">
        <v>1.1237957963429908</v>
      </c>
      <c r="K145" s="8">
        <v>1.9331265149452268</v>
      </c>
      <c r="L145" s="14">
        <v>13.599163533998246</v>
      </c>
      <c r="Q145">
        <v>0</v>
      </c>
      <c r="R145">
        <v>0</v>
      </c>
      <c r="S145">
        <v>1</v>
      </c>
      <c r="T145">
        <v>2</v>
      </c>
      <c r="U145">
        <v>1</v>
      </c>
      <c r="V145">
        <v>2</v>
      </c>
      <c r="W145">
        <v>4</v>
      </c>
      <c r="X145">
        <v>17</v>
      </c>
      <c r="AC145" s="7"/>
    </row>
    <row r="146" spans="1:29">
      <c r="A146" s="7"/>
      <c r="C146" s="1" t="s">
        <v>19</v>
      </c>
      <c r="D146" s="8">
        <v>0.25235534326627296</v>
      </c>
      <c r="E146" s="8">
        <v>0.70476525384965016</v>
      </c>
      <c r="F146" s="8">
        <v>6.0407712066027673E-3</v>
      </c>
      <c r="G146" s="8">
        <v>3.544051038888045E-2</v>
      </c>
      <c r="H146" s="8">
        <v>2.8917553643465913E-3</v>
      </c>
      <c r="I146" s="8">
        <v>0.90787989654704593</v>
      </c>
      <c r="J146" s="8">
        <v>3.1358357122892228E-2</v>
      </c>
      <c r="K146" s="8">
        <v>2.2558542548757696</v>
      </c>
      <c r="L146" s="14">
        <v>4.1965861426214603</v>
      </c>
      <c r="Y146" s="22">
        <v>100</v>
      </c>
      <c r="AC146" s="7"/>
    </row>
    <row r="147" spans="1:29">
      <c r="A147" s="7"/>
      <c r="C147" s="1" t="s">
        <v>20</v>
      </c>
      <c r="D147" s="8">
        <v>1.4654980637469328</v>
      </c>
      <c r="E147" s="8">
        <v>2.0222297563020186</v>
      </c>
      <c r="F147" s="8">
        <v>0.72618433525804149</v>
      </c>
      <c r="G147" s="8">
        <v>2.4083927001144734E-3</v>
      </c>
      <c r="H147" s="8">
        <v>5.4722044904837709E-2</v>
      </c>
      <c r="I147" s="8">
        <v>2.4352996875313258E-2</v>
      </c>
      <c r="J147" s="8">
        <v>1.2176431120134374</v>
      </c>
      <c r="K147" s="8">
        <v>7.2975687051828496E-3</v>
      </c>
      <c r="L147" s="14">
        <v>5.5203362705058785</v>
      </c>
      <c r="N147">
        <v>0.88718535261165343</v>
      </c>
      <c r="AC147" s="7"/>
    </row>
    <row r="148" spans="1:29">
      <c r="A148" s="7"/>
      <c r="B148" s="7"/>
      <c r="C148" s="7"/>
      <c r="D148" s="14">
        <v>3.5659172276765263</v>
      </c>
      <c r="E148" s="14">
        <v>6.8544975003127844</v>
      </c>
      <c r="F148" s="14">
        <v>3.9494104674036059</v>
      </c>
      <c r="G148" s="14">
        <v>7.3752234049498906</v>
      </c>
      <c r="H148" s="14">
        <v>18.413037274813298</v>
      </c>
      <c r="I148" s="14">
        <v>9.8171944379767861</v>
      </c>
      <c r="J148" s="14">
        <v>9.1156783790027234</v>
      </c>
      <c r="K148" s="14">
        <v>6.6239106584012442</v>
      </c>
      <c r="L148" s="15">
        <v>65.714869350536858</v>
      </c>
      <c r="M148" t="s">
        <v>11</v>
      </c>
      <c r="N148" s="7">
        <v>0.11281464738834657</v>
      </c>
      <c r="O148" s="7" t="s">
        <v>61</v>
      </c>
      <c r="P148" s="7"/>
      <c r="Q148" s="7"/>
      <c r="R148" s="7"/>
      <c r="S148" s="7"/>
      <c r="T148" s="7"/>
      <c r="U148" s="7"/>
      <c r="V148" s="7"/>
      <c r="W148" s="7"/>
      <c r="X148" s="7"/>
      <c r="Y148" s="7"/>
      <c r="Z148" s="7"/>
      <c r="AA148" s="7"/>
      <c r="AB148" s="7"/>
      <c r="AC148" s="7"/>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48"/>
  <sheetViews>
    <sheetView workbookViewId="0">
      <selection activeCell="L2" sqref="L2"/>
    </sheetView>
  </sheetViews>
  <sheetFormatPr baseColWidth="10" defaultColWidth="8.83203125" defaultRowHeight="14" x14ac:dyDescent="0"/>
  <sheetData>
    <row r="1" spans="1:29">
      <c r="A1" s="16" t="s">
        <v>0</v>
      </c>
      <c r="B1" s="16" t="s">
        <v>1</v>
      </c>
      <c r="C1" s="16" t="s">
        <v>2</v>
      </c>
      <c r="D1" s="16" t="s">
        <v>3</v>
      </c>
      <c r="E1" s="16" t="s">
        <v>4</v>
      </c>
      <c r="F1" s="16" t="s">
        <v>5</v>
      </c>
      <c r="G1" s="16" t="s">
        <v>6</v>
      </c>
      <c r="H1" s="16" t="s">
        <v>7</v>
      </c>
      <c r="I1" s="16" t="s">
        <v>8</v>
      </c>
      <c r="J1" s="16" t="s">
        <v>9</v>
      </c>
      <c r="K1" s="16" t="s">
        <v>10</v>
      </c>
      <c r="L1" s="7"/>
      <c r="M1" s="7"/>
      <c r="N1" s="7"/>
      <c r="O1" s="7"/>
      <c r="P1" s="7"/>
      <c r="Q1" s="7"/>
      <c r="R1" s="7"/>
      <c r="S1" s="7"/>
      <c r="T1" s="7"/>
      <c r="U1" s="7"/>
      <c r="V1" s="7"/>
      <c r="W1" s="7"/>
      <c r="X1" s="7"/>
      <c r="Y1" s="7"/>
      <c r="Z1" s="7"/>
      <c r="AA1" s="7"/>
      <c r="AB1" s="7"/>
      <c r="AC1" s="7"/>
    </row>
    <row r="2" spans="1:29">
      <c r="A2" s="18">
        <v>0.10096702483491753</v>
      </c>
      <c r="B2" s="18">
        <v>9.9169100344604022E-2</v>
      </c>
      <c r="C2" s="18">
        <v>9.7986474233175205E-2</v>
      </c>
      <c r="D2" s="18">
        <v>0.25991036159776226</v>
      </c>
      <c r="E2" s="18">
        <v>0.25010763536551239</v>
      </c>
      <c r="F2" s="18">
        <v>7.9733011932719999E-4</v>
      </c>
      <c r="G2" s="18">
        <v>0</v>
      </c>
      <c r="H2" s="18">
        <v>0</v>
      </c>
      <c r="I2" s="18">
        <v>1.1780573295282445E-3</v>
      </c>
      <c r="J2" s="18">
        <v>0.25188387766503706</v>
      </c>
      <c r="K2" s="18">
        <v>0.23612273853776167</v>
      </c>
      <c r="L2" s="1">
        <v>1.000000000614929</v>
      </c>
      <c r="N2" t="s">
        <v>36</v>
      </c>
      <c r="O2" s="4">
        <v>0.49159999999999998</v>
      </c>
      <c r="P2" s="4">
        <v>0.48799999999999999</v>
      </c>
      <c r="Y2" t="s">
        <v>85</v>
      </c>
      <c r="AC2" s="7"/>
    </row>
    <row r="3" spans="1:29">
      <c r="A3" t="s">
        <v>95</v>
      </c>
      <c r="B3" s="20">
        <v>57.843836674258043</v>
      </c>
      <c r="C3" s="17" t="s">
        <v>12</v>
      </c>
      <c r="D3" s="1" t="s">
        <v>13</v>
      </c>
      <c r="E3" s="1" t="s">
        <v>14</v>
      </c>
      <c r="F3" s="1" t="s">
        <v>15</v>
      </c>
      <c r="G3" s="1" t="s">
        <v>16</v>
      </c>
      <c r="H3" s="1" t="s">
        <v>17</v>
      </c>
      <c r="I3" s="1" t="s">
        <v>18</v>
      </c>
      <c r="J3" s="1" t="s">
        <v>19</v>
      </c>
      <c r="K3" s="1" t="s">
        <v>20</v>
      </c>
      <c r="L3" s="1"/>
      <c r="N3" t="s">
        <v>37</v>
      </c>
      <c r="O3" s="4">
        <v>0.48970000000000002</v>
      </c>
      <c r="P3" s="4">
        <v>0.495</v>
      </c>
      <c r="Q3" t="s">
        <v>55</v>
      </c>
      <c r="Y3" s="1" t="s">
        <v>12</v>
      </c>
      <c r="Z3" t="s">
        <v>47</v>
      </c>
      <c r="AA3" t="s">
        <v>48</v>
      </c>
      <c r="AB3" t="s">
        <v>49</v>
      </c>
      <c r="AC3" s="7"/>
    </row>
    <row r="4" spans="1:29">
      <c r="A4" t="s">
        <v>21</v>
      </c>
      <c r="B4">
        <v>0.30111602796572179</v>
      </c>
      <c r="C4" s="1" t="s">
        <v>13</v>
      </c>
      <c r="D4" s="24">
        <v>1406</v>
      </c>
      <c r="E4" s="24">
        <v>290</v>
      </c>
      <c r="F4" s="24">
        <v>163</v>
      </c>
      <c r="G4" s="24">
        <v>35</v>
      </c>
      <c r="H4" s="24">
        <v>134</v>
      </c>
      <c r="I4" s="24">
        <v>34</v>
      </c>
      <c r="J4" s="24">
        <v>43</v>
      </c>
      <c r="K4" s="24">
        <v>10</v>
      </c>
      <c r="L4" s="1">
        <v>2115</v>
      </c>
      <c r="N4" t="s">
        <v>38</v>
      </c>
      <c r="O4" s="4">
        <v>0.4919</v>
      </c>
      <c r="P4" s="4">
        <v>0.48799999999999999</v>
      </c>
      <c r="Q4" t="s">
        <v>56</v>
      </c>
      <c r="T4" t="s">
        <v>44</v>
      </c>
      <c r="V4" t="s">
        <v>57</v>
      </c>
      <c r="Y4" s="1" t="s">
        <v>13</v>
      </c>
      <c r="Z4">
        <v>2115</v>
      </c>
      <c r="AA4">
        <v>1406</v>
      </c>
      <c r="AB4">
        <v>709</v>
      </c>
      <c r="AC4" s="7"/>
    </row>
    <row r="5" spans="1:29">
      <c r="C5" s="1" t="s">
        <v>14</v>
      </c>
      <c r="D5" s="24">
        <v>298</v>
      </c>
      <c r="E5" s="24">
        <v>1372</v>
      </c>
      <c r="F5" s="24">
        <v>26</v>
      </c>
      <c r="G5" s="24">
        <v>155</v>
      </c>
      <c r="H5" s="24">
        <v>32</v>
      </c>
      <c r="I5" s="24">
        <v>145</v>
      </c>
      <c r="J5" s="24">
        <v>9</v>
      </c>
      <c r="K5" s="24">
        <v>29</v>
      </c>
      <c r="L5" s="1">
        <v>2066</v>
      </c>
      <c r="M5" s="10" t="s">
        <v>39</v>
      </c>
      <c r="N5" s="10">
        <v>1</v>
      </c>
      <c r="O5" s="10">
        <v>2</v>
      </c>
      <c r="P5" s="10" t="s">
        <v>39</v>
      </c>
      <c r="Q5" s="10">
        <v>1</v>
      </c>
      <c r="R5" s="10">
        <v>2</v>
      </c>
      <c r="S5" s="10" t="s">
        <v>39</v>
      </c>
      <c r="T5" s="10">
        <v>1</v>
      </c>
      <c r="U5" s="10">
        <v>2</v>
      </c>
      <c r="V5" s="10" t="s">
        <v>11</v>
      </c>
      <c r="W5" t="s">
        <v>42</v>
      </c>
      <c r="X5" t="s">
        <v>43</v>
      </c>
      <c r="Y5" s="1" t="s">
        <v>14</v>
      </c>
      <c r="Z5">
        <v>2066</v>
      </c>
      <c r="AA5">
        <v>1372</v>
      </c>
      <c r="AB5">
        <v>694</v>
      </c>
      <c r="AC5" s="7"/>
    </row>
    <row r="6" spans="1:29">
      <c r="A6" t="s">
        <v>22</v>
      </c>
      <c r="B6" s="19">
        <v>0.10096702483491753</v>
      </c>
      <c r="C6" s="1" t="s">
        <v>15</v>
      </c>
      <c r="D6" s="24">
        <v>156</v>
      </c>
      <c r="E6" s="24">
        <v>30</v>
      </c>
      <c r="F6" s="24">
        <v>40</v>
      </c>
      <c r="G6" s="24">
        <v>5</v>
      </c>
      <c r="H6" s="24">
        <v>35</v>
      </c>
      <c r="I6" s="24">
        <v>5</v>
      </c>
      <c r="J6" s="24">
        <v>149</v>
      </c>
      <c r="K6" s="24">
        <v>33</v>
      </c>
      <c r="L6" s="1">
        <v>453</v>
      </c>
      <c r="M6" s="10">
        <v>1</v>
      </c>
      <c r="N6">
        <v>4194</v>
      </c>
      <c r="O6">
        <v>890</v>
      </c>
      <c r="P6" s="10">
        <v>1</v>
      </c>
      <c r="Q6">
        <v>2603.0079999999998</v>
      </c>
      <c r="R6">
        <v>2480.9920000000002</v>
      </c>
      <c r="S6" s="10">
        <v>1</v>
      </c>
      <c r="T6">
        <v>972.43479238788393</v>
      </c>
      <c r="U6">
        <v>1020.2594543085994</v>
      </c>
      <c r="V6" s="23">
        <v>4053.4870762743762</v>
      </c>
      <c r="W6">
        <v>1</v>
      </c>
      <c r="X6" s="23">
        <v>0</v>
      </c>
      <c r="Y6" s="1" t="s">
        <v>15</v>
      </c>
      <c r="Z6">
        <v>453</v>
      </c>
      <c r="AA6">
        <v>40</v>
      </c>
      <c r="AB6">
        <v>413</v>
      </c>
      <c r="AC6" s="7"/>
    </row>
    <row r="7" spans="1:29">
      <c r="A7" t="s">
        <v>23</v>
      </c>
      <c r="B7" s="19">
        <v>9.9169100344604022E-2</v>
      </c>
      <c r="C7" s="1" t="s">
        <v>16</v>
      </c>
      <c r="D7" s="24">
        <v>33</v>
      </c>
      <c r="E7" s="24">
        <v>152</v>
      </c>
      <c r="F7" s="24">
        <v>6</v>
      </c>
      <c r="G7" s="24">
        <v>27</v>
      </c>
      <c r="H7" s="24">
        <v>6</v>
      </c>
      <c r="I7" s="24">
        <v>32</v>
      </c>
      <c r="J7" s="24">
        <v>38</v>
      </c>
      <c r="K7" s="24">
        <v>156</v>
      </c>
      <c r="L7" s="1">
        <v>450</v>
      </c>
      <c r="M7" s="10">
        <v>2</v>
      </c>
      <c r="N7">
        <v>926</v>
      </c>
      <c r="O7">
        <v>3990</v>
      </c>
      <c r="P7" s="10">
        <v>2</v>
      </c>
      <c r="Q7">
        <v>2516.9920000000002</v>
      </c>
      <c r="R7">
        <v>2399.0079999999998</v>
      </c>
      <c r="S7" s="10">
        <v>2</v>
      </c>
      <c r="T7">
        <v>1005.6669008340116</v>
      </c>
      <c r="U7">
        <v>1055.1259287438811</v>
      </c>
      <c r="Y7" s="1" t="s">
        <v>16</v>
      </c>
      <c r="Z7">
        <v>450</v>
      </c>
      <c r="AA7">
        <v>27</v>
      </c>
      <c r="AB7">
        <v>423</v>
      </c>
      <c r="AC7" s="7"/>
    </row>
    <row r="8" spans="1:29">
      <c r="A8" t="s">
        <v>24</v>
      </c>
      <c r="B8" s="19">
        <v>9.7986474233175205E-2</v>
      </c>
      <c r="C8" s="1" t="s">
        <v>17</v>
      </c>
      <c r="D8" s="24">
        <v>176</v>
      </c>
      <c r="E8" s="24">
        <v>36</v>
      </c>
      <c r="F8" s="24">
        <v>40</v>
      </c>
      <c r="G8" s="24">
        <v>3</v>
      </c>
      <c r="H8" s="24">
        <v>24</v>
      </c>
      <c r="I8" s="24">
        <v>5</v>
      </c>
      <c r="J8" s="24">
        <v>160</v>
      </c>
      <c r="K8" s="24">
        <v>26</v>
      </c>
      <c r="L8" s="1">
        <v>470</v>
      </c>
      <c r="M8" s="10" t="s">
        <v>40</v>
      </c>
      <c r="N8">
        <v>1</v>
      </c>
      <c r="O8">
        <v>2</v>
      </c>
      <c r="P8" s="10" t="s">
        <v>40</v>
      </c>
      <c r="S8" s="10" t="s">
        <v>40</v>
      </c>
      <c r="Y8" s="1" t="s">
        <v>17</v>
      </c>
      <c r="Z8">
        <v>470</v>
      </c>
      <c r="AA8">
        <v>24</v>
      </c>
      <c r="AB8">
        <v>446</v>
      </c>
      <c r="AC8" s="7"/>
    </row>
    <row r="9" spans="1:29">
      <c r="C9" s="1" t="s">
        <v>18</v>
      </c>
      <c r="D9" s="24">
        <v>30</v>
      </c>
      <c r="E9" s="24">
        <v>149</v>
      </c>
      <c r="F9" s="24">
        <v>10</v>
      </c>
      <c r="G9" s="24">
        <v>46</v>
      </c>
      <c r="H9" s="24">
        <v>10</v>
      </c>
      <c r="I9" s="24">
        <v>40</v>
      </c>
      <c r="J9" s="24">
        <v>29</v>
      </c>
      <c r="K9" s="24">
        <v>138</v>
      </c>
      <c r="L9" s="1">
        <v>452</v>
      </c>
      <c r="M9" s="10">
        <v>1</v>
      </c>
      <c r="N9">
        <v>4181</v>
      </c>
      <c r="O9">
        <v>922</v>
      </c>
      <c r="P9" s="10">
        <v>1</v>
      </c>
      <c r="Q9">
        <v>2577.0149999999999</v>
      </c>
      <c r="R9">
        <v>2525.9850000000001</v>
      </c>
      <c r="S9" s="10">
        <v>1</v>
      </c>
      <c r="T9">
        <v>998.35192275753172</v>
      </c>
      <c r="U9">
        <v>1018.520648469805</v>
      </c>
      <c r="V9" s="23">
        <v>4118.5880564168601</v>
      </c>
      <c r="W9">
        <v>1</v>
      </c>
      <c r="X9" s="23">
        <v>0</v>
      </c>
      <c r="Y9" s="1" t="s">
        <v>18</v>
      </c>
      <c r="Z9">
        <v>452</v>
      </c>
      <c r="AA9">
        <v>40</v>
      </c>
      <c r="AB9">
        <v>412</v>
      </c>
      <c r="AC9" s="7"/>
    </row>
    <row r="10" spans="1:29">
      <c r="A10" s="7"/>
      <c r="C10" s="1" t="s">
        <v>19</v>
      </c>
      <c r="D10" s="24">
        <v>46</v>
      </c>
      <c r="E10" s="24">
        <v>1</v>
      </c>
      <c r="F10" s="24">
        <v>159</v>
      </c>
      <c r="G10" s="24">
        <v>28</v>
      </c>
      <c r="H10" s="24">
        <v>150</v>
      </c>
      <c r="I10" s="24">
        <v>28</v>
      </c>
      <c r="J10" s="24">
        <v>1339</v>
      </c>
      <c r="K10" s="24">
        <v>292</v>
      </c>
      <c r="L10" s="1">
        <v>2043</v>
      </c>
      <c r="M10" s="10">
        <v>2</v>
      </c>
      <c r="N10">
        <v>869</v>
      </c>
      <c r="O10">
        <v>4028</v>
      </c>
      <c r="P10" s="10">
        <v>2</v>
      </c>
      <c r="Q10">
        <v>2472.9850000000001</v>
      </c>
      <c r="R10">
        <v>2424.0149999999999</v>
      </c>
      <c r="S10" s="10">
        <v>2</v>
      </c>
      <c r="T10">
        <v>1040.3491651688144</v>
      </c>
      <c r="U10">
        <v>1061.3663200207097</v>
      </c>
      <c r="Y10" s="1" t="s">
        <v>19</v>
      </c>
      <c r="Z10">
        <v>2043</v>
      </c>
      <c r="AA10">
        <v>1339</v>
      </c>
      <c r="AB10">
        <v>704</v>
      </c>
      <c r="AC10" s="7"/>
    </row>
    <row r="11" spans="1:29">
      <c r="A11" s="7">
        <v>0</v>
      </c>
      <c r="B11" s="6">
        <v>0</v>
      </c>
      <c r="C11" s="1" t="s">
        <v>20</v>
      </c>
      <c r="D11" s="24">
        <v>7</v>
      </c>
      <c r="E11" s="24">
        <v>26</v>
      </c>
      <c r="F11" s="24">
        <v>41</v>
      </c>
      <c r="G11" s="24">
        <v>128</v>
      </c>
      <c r="H11" s="24">
        <v>31</v>
      </c>
      <c r="I11" s="24">
        <v>131</v>
      </c>
      <c r="J11" s="24">
        <v>294</v>
      </c>
      <c r="K11" s="24">
        <v>1293</v>
      </c>
      <c r="L11" s="1">
        <v>1951</v>
      </c>
      <c r="M11" s="10" t="s">
        <v>41</v>
      </c>
      <c r="N11">
        <v>1</v>
      </c>
      <c r="O11">
        <v>2</v>
      </c>
      <c r="P11" s="10" t="s">
        <v>41</v>
      </c>
      <c r="S11" s="10" t="s">
        <v>41</v>
      </c>
      <c r="Y11" s="1" t="s">
        <v>20</v>
      </c>
      <c r="Z11">
        <v>1951</v>
      </c>
      <c r="AA11">
        <v>1293</v>
      </c>
      <c r="AB11">
        <v>658</v>
      </c>
      <c r="AC11" s="7"/>
    </row>
    <row r="12" spans="1:29">
      <c r="A12" s="7"/>
      <c r="B12" s="6"/>
      <c r="C12" s="1"/>
      <c r="D12" s="1">
        <v>2152</v>
      </c>
      <c r="E12" s="1">
        <v>2056</v>
      </c>
      <c r="F12" s="1">
        <v>485</v>
      </c>
      <c r="G12" s="1">
        <v>427</v>
      </c>
      <c r="H12" s="1">
        <v>422</v>
      </c>
      <c r="I12" s="1">
        <v>420</v>
      </c>
      <c r="J12" s="1">
        <v>2061</v>
      </c>
      <c r="K12" s="1">
        <v>1977</v>
      </c>
      <c r="L12" s="1">
        <v>10000</v>
      </c>
      <c r="M12" s="10">
        <v>1</v>
      </c>
      <c r="N12">
        <v>4220</v>
      </c>
      <c r="O12">
        <v>861</v>
      </c>
      <c r="P12" s="10">
        <v>1</v>
      </c>
      <c r="Q12">
        <v>2601.4720000000002</v>
      </c>
      <c r="R12">
        <v>2479.5279999999998</v>
      </c>
      <c r="S12" s="10">
        <v>1</v>
      </c>
      <c r="T12">
        <v>1006.9810041330444</v>
      </c>
      <c r="U12">
        <v>1056.5046600740138</v>
      </c>
      <c r="V12" s="23">
        <v>4194.9291811487255</v>
      </c>
      <c r="W12">
        <v>1</v>
      </c>
      <c r="X12" s="23">
        <v>0</v>
      </c>
      <c r="Y12" s="1" t="s">
        <v>46</v>
      </c>
      <c r="Z12" s="7">
        <v>10000</v>
      </c>
      <c r="AA12" s="7">
        <v>5541</v>
      </c>
      <c r="AB12" s="7">
        <v>4459</v>
      </c>
      <c r="AC12" s="7"/>
    </row>
    <row r="13" spans="1:29">
      <c r="A13" s="7"/>
      <c r="C13" s="1" t="s">
        <v>25</v>
      </c>
      <c r="D13" s="4">
        <v>0.18986964536569989</v>
      </c>
      <c r="E13" s="4">
        <v>2.0625696380186728E-2</v>
      </c>
      <c r="F13" s="4">
        <v>2.0902038241437319E-2</v>
      </c>
      <c r="G13" s="4">
        <v>2.2706056761446942E-3</v>
      </c>
      <c r="H13" s="4">
        <v>2.1323548444388774E-2</v>
      </c>
      <c r="I13" s="4">
        <v>2.316394677596098E-3</v>
      </c>
      <c r="J13" s="4">
        <v>2.3474295966019248E-3</v>
      </c>
      <c r="K13" s="4">
        <v>2.5500321570686492E-4</v>
      </c>
      <c r="M13" s="10">
        <v>2</v>
      </c>
      <c r="N13">
        <v>900</v>
      </c>
      <c r="O13">
        <v>4019</v>
      </c>
      <c r="P13" s="10">
        <v>2</v>
      </c>
      <c r="Q13">
        <v>2518.5279999999998</v>
      </c>
      <c r="R13">
        <v>2400.4720000000002</v>
      </c>
      <c r="S13" s="10">
        <v>2</v>
      </c>
      <c r="T13">
        <v>1040.1444362675338</v>
      </c>
      <c r="U13">
        <v>1091.2990806741338</v>
      </c>
      <c r="AC13" s="7"/>
    </row>
    <row r="14" spans="1:29">
      <c r="A14" s="7"/>
      <c r="C14" s="1"/>
      <c r="D14" s="1" t="s">
        <v>13</v>
      </c>
      <c r="E14" s="1" t="s">
        <v>14</v>
      </c>
      <c r="F14" s="1" t="s">
        <v>15</v>
      </c>
      <c r="G14" s="1" t="s">
        <v>16</v>
      </c>
      <c r="H14" s="1" t="s">
        <v>17</v>
      </c>
      <c r="I14" s="1" t="s">
        <v>18</v>
      </c>
      <c r="J14" s="1" t="s">
        <v>19</v>
      </c>
      <c r="K14" s="1" t="s">
        <v>20</v>
      </c>
      <c r="L14" s="1"/>
      <c r="V14" s="7"/>
      <c r="W14" s="7"/>
      <c r="X14" s="7"/>
      <c r="Y14" s="7"/>
      <c r="Z14" s="7"/>
      <c r="AA14" s="7"/>
      <c r="AB14" s="7"/>
      <c r="AC14" s="7"/>
    </row>
    <row r="15" spans="1:29">
      <c r="A15" s="7"/>
      <c r="B15" s="4">
        <v>0.73051972302490376</v>
      </c>
      <c r="C15" s="1" t="s">
        <v>13</v>
      </c>
      <c r="D15" s="4">
        <v>0.13870352074338779</v>
      </c>
      <c r="E15" s="4">
        <v>1.5067478006849769E-2</v>
      </c>
      <c r="F15" s="4">
        <v>1.5269351186790736E-2</v>
      </c>
      <c r="G15" s="4">
        <v>1.6587222296359963E-3</v>
      </c>
      <c r="H15" s="4">
        <v>1.5577272703503004E-2</v>
      </c>
      <c r="I15" s="4">
        <v>1.6921719982938626E-3</v>
      </c>
      <c r="J15" s="4">
        <v>1.7148436187300997E-3</v>
      </c>
      <c r="K15" s="4">
        <v>1.8628487850863874E-4</v>
      </c>
      <c r="AC15" s="7"/>
    </row>
    <row r="16" spans="1:29">
      <c r="A16" s="7"/>
      <c r="B16" s="4">
        <v>7.9356960812924759E-2</v>
      </c>
      <c r="C16" s="1" t="s">
        <v>14</v>
      </c>
      <c r="D16" s="4">
        <v>1.5067478006849768E-2</v>
      </c>
      <c r="E16" s="4">
        <v>1.6367925793817622E-3</v>
      </c>
      <c r="F16" s="4">
        <v>1.658722229635996E-3</v>
      </c>
      <c r="G16" s="4">
        <v>1.8018836566341902E-4</v>
      </c>
      <c r="H16" s="4">
        <v>1.6921719982938626E-3</v>
      </c>
      <c r="I16" s="4">
        <v>1.8382204165726102E-4</v>
      </c>
      <c r="J16" s="4">
        <v>1.8628487850863871E-4</v>
      </c>
      <c r="K16" s="4">
        <v>2.023628019601948E-5</v>
      </c>
      <c r="O16" s="8"/>
      <c r="AC16" s="7"/>
    </row>
    <row r="17" spans="1:29">
      <c r="A17" s="7"/>
      <c r="B17" s="4">
        <v>8.0420180684390524E-2</v>
      </c>
      <c r="C17" s="1" t="s">
        <v>15</v>
      </c>
      <c r="D17" s="4">
        <v>1.5269351186790738E-2</v>
      </c>
      <c r="E17" s="4">
        <v>1.6587222296359963E-3</v>
      </c>
      <c r="F17" s="4">
        <v>1.6809456920484295E-3</v>
      </c>
      <c r="G17" s="4">
        <v>1.8260251873855902E-4</v>
      </c>
      <c r="H17" s="4">
        <v>1.7148436187300997E-3</v>
      </c>
      <c r="I17" s="4">
        <v>1.8628487850863874E-4</v>
      </c>
      <c r="J17" s="4">
        <v>1.8878071230261275E-4</v>
      </c>
      <c r="K17" s="4">
        <v>2.0507404682246689E-5</v>
      </c>
      <c r="AC17" s="7"/>
    </row>
    <row r="18" spans="1:29">
      <c r="A18" s="7"/>
      <c r="B18" s="4">
        <v>8.7361106428634327E-3</v>
      </c>
      <c r="C18" s="1" t="s">
        <v>16</v>
      </c>
      <c r="D18" s="4">
        <v>1.6587222296359965E-3</v>
      </c>
      <c r="E18" s="4">
        <v>1.8018836566341905E-4</v>
      </c>
      <c r="F18" s="4">
        <v>1.8260251873855902E-4</v>
      </c>
      <c r="G18" s="4">
        <v>1.9836262413113785E-5</v>
      </c>
      <c r="H18" s="4">
        <v>1.8628487850863877E-4</v>
      </c>
      <c r="I18" s="4">
        <v>2.023628019601948E-5</v>
      </c>
      <c r="J18" s="4">
        <v>2.0507404682246689E-5</v>
      </c>
      <c r="K18" s="4">
        <v>2.2277363067011422E-6</v>
      </c>
      <c r="AC18" s="7"/>
    </row>
    <row r="19" spans="1:29">
      <c r="A19" s="7"/>
      <c r="B19" s="4">
        <v>8.2041932892960731E-2</v>
      </c>
      <c r="C19" s="1" t="s">
        <v>17</v>
      </c>
      <c r="D19" s="4">
        <v>1.5577272703503004E-2</v>
      </c>
      <c r="E19" s="4">
        <v>1.6921719982938626E-3</v>
      </c>
      <c r="F19" s="4">
        <v>1.7148436187300995E-3</v>
      </c>
      <c r="G19" s="4">
        <v>1.8628487850863874E-4</v>
      </c>
      <c r="H19" s="4">
        <v>1.7494251305143409E-3</v>
      </c>
      <c r="I19" s="4">
        <v>1.9004149669295047E-4</v>
      </c>
      <c r="J19" s="4">
        <v>1.9258766143536501E-4</v>
      </c>
      <c r="K19" s="4">
        <v>2.0920956710511804E-5</v>
      </c>
      <c r="AC19" s="7"/>
    </row>
    <row r="20" spans="1:29">
      <c r="A20" s="7"/>
      <c r="B20" s="4">
        <v>8.9122829246067303E-3</v>
      </c>
      <c r="C20" s="1" t="s">
        <v>18</v>
      </c>
      <c r="D20" s="4">
        <v>1.6921719982938626E-3</v>
      </c>
      <c r="E20" s="4">
        <v>1.8382204165726102E-4</v>
      </c>
      <c r="F20" s="4">
        <v>1.8628487850863871E-4</v>
      </c>
      <c r="G20" s="4">
        <v>2.0236280196019477E-5</v>
      </c>
      <c r="H20" s="4">
        <v>1.9004149669295047E-4</v>
      </c>
      <c r="I20" s="4">
        <v>2.0644364731789615E-5</v>
      </c>
      <c r="J20" s="4">
        <v>2.09209567105118E-5</v>
      </c>
      <c r="K20" s="4">
        <v>2.2726608050640991E-6</v>
      </c>
      <c r="AC20" s="7"/>
    </row>
    <row r="21" spans="1:29">
      <c r="A21" s="7"/>
      <c r="B21" s="4">
        <v>9.0316891645697873E-3</v>
      </c>
      <c r="C21" s="1" t="s">
        <v>19</v>
      </c>
      <c r="D21" s="4">
        <v>1.7148436187300999E-3</v>
      </c>
      <c r="E21" s="4">
        <v>1.8628487850863877E-4</v>
      </c>
      <c r="F21" s="4">
        <v>1.8878071230261277E-4</v>
      </c>
      <c r="G21" s="4">
        <v>2.0507404682246689E-5</v>
      </c>
      <c r="H21" s="4">
        <v>1.9258766143536503E-4</v>
      </c>
      <c r="I21" s="4">
        <v>2.0920956710511804E-5</v>
      </c>
      <c r="J21" s="4">
        <v>2.1201254452220032E-5</v>
      </c>
      <c r="K21" s="4">
        <v>2.3031097802301443E-6</v>
      </c>
      <c r="M21" t="s">
        <v>62</v>
      </c>
      <c r="AC21" s="7"/>
    </row>
    <row r="22" spans="1:29">
      <c r="A22" s="7"/>
      <c r="B22" s="4">
        <v>9.8111985278027643E-4</v>
      </c>
      <c r="C22" s="1" t="s">
        <v>20</v>
      </c>
      <c r="D22" s="4">
        <v>1.8628487850863877E-4</v>
      </c>
      <c r="E22" s="4">
        <v>2.0236280196019484E-5</v>
      </c>
      <c r="F22" s="4">
        <v>2.0507404682246689E-5</v>
      </c>
      <c r="G22" s="4">
        <v>2.2277363067011426E-6</v>
      </c>
      <c r="H22" s="4">
        <v>2.0920956710511807E-5</v>
      </c>
      <c r="I22" s="4">
        <v>2.2726608050640995E-6</v>
      </c>
      <c r="J22" s="4">
        <v>2.3031097802301443E-6</v>
      </c>
      <c r="K22" s="4">
        <v>2.501887174528164E-7</v>
      </c>
      <c r="AC22" s="7"/>
    </row>
    <row r="23" spans="1:29">
      <c r="A23" s="7"/>
      <c r="AC23" s="7"/>
    </row>
    <row r="24" spans="1:29">
      <c r="A24" s="7"/>
      <c r="C24" s="1" t="s">
        <v>26</v>
      </c>
      <c r="D24" s="4">
        <v>1.9847781818714244E-2</v>
      </c>
      <c r="E24" s="4">
        <v>0.18270856051362774</v>
      </c>
      <c r="F24" s="4">
        <v>2.1849679751780593E-3</v>
      </c>
      <c r="G24" s="4">
        <v>2.011370122664017E-2</v>
      </c>
      <c r="H24" s="4">
        <v>2.2290300079818226E-3</v>
      </c>
      <c r="I24" s="4">
        <v>2.051931383667446E-2</v>
      </c>
      <c r="J24" s="4">
        <v>2.4538556638903451E-4</v>
      </c>
      <c r="K24" s="4">
        <v>2.2588944203068692E-3</v>
      </c>
      <c r="O24">
        <v>0.13238272000000001</v>
      </c>
      <c r="P24">
        <v>0.12617728</v>
      </c>
      <c r="Q24">
        <v>0.12976128000000001</v>
      </c>
      <c r="R24">
        <v>0.12367871999999999</v>
      </c>
      <c r="S24">
        <v>0.12617728</v>
      </c>
      <c r="T24">
        <v>0.12026271999999999</v>
      </c>
      <c r="U24">
        <v>0.12367872000000001</v>
      </c>
      <c r="V24">
        <v>0.11788127999999999</v>
      </c>
      <c r="AC24" s="7"/>
    </row>
    <row r="25" spans="1:29">
      <c r="A25" s="7"/>
      <c r="C25" s="1"/>
      <c r="D25" s="1" t="s">
        <v>13</v>
      </c>
      <c r="E25" s="1" t="s">
        <v>14</v>
      </c>
      <c r="F25" s="1" t="s">
        <v>15</v>
      </c>
      <c r="G25" s="1" t="s">
        <v>16</v>
      </c>
      <c r="H25" s="1" t="s">
        <v>17</v>
      </c>
      <c r="I25" s="1" t="s">
        <v>18</v>
      </c>
      <c r="J25" s="1" t="s">
        <v>19</v>
      </c>
      <c r="K25" s="1" t="s">
        <v>20</v>
      </c>
      <c r="L25" s="1"/>
      <c r="N25" s="7"/>
      <c r="O25" s="1" t="s">
        <v>13</v>
      </c>
      <c r="P25" s="1" t="s">
        <v>14</v>
      </c>
      <c r="Q25" s="1" t="s">
        <v>15</v>
      </c>
      <c r="R25" s="1" t="s">
        <v>16</v>
      </c>
      <c r="S25" s="1" t="s">
        <v>17</v>
      </c>
      <c r="T25" s="1" t="s">
        <v>18</v>
      </c>
      <c r="U25" s="1" t="s">
        <v>19</v>
      </c>
      <c r="V25" s="1" t="s">
        <v>20</v>
      </c>
      <c r="AC25" s="7"/>
    </row>
    <row r="26" spans="1:29">
      <c r="A26" s="7"/>
      <c r="B26" s="4">
        <v>7.9356960812924759E-2</v>
      </c>
      <c r="C26" s="1" t="s">
        <v>13</v>
      </c>
      <c r="D26" s="4">
        <v>1.5750596440111868E-3</v>
      </c>
      <c r="E26" s="4">
        <v>1.4499196076865849E-2</v>
      </c>
      <c r="F26" s="4">
        <v>1.7339241798370082E-4</v>
      </c>
      <c r="G26" s="4">
        <v>1.5961622000453606E-3</v>
      </c>
      <c r="H26" s="4">
        <v>1.7688904699424685E-4</v>
      </c>
      <c r="I26" s="4">
        <v>1.62835038404508E-3</v>
      </c>
      <c r="J26" s="4">
        <v>1.9473052775991959E-5</v>
      </c>
      <c r="K26" s="4">
        <v>1.7925899599282661E-4</v>
      </c>
      <c r="M26" s="4">
        <v>0.13181969581199998</v>
      </c>
      <c r="N26" s="1" t="s">
        <v>13</v>
      </c>
      <c r="O26">
        <v>1.7450649881165167E-2</v>
      </c>
      <c r="P26">
        <v>1.6632650667985551E-2</v>
      </c>
      <c r="Q26">
        <v>1.7105092457775757E-2</v>
      </c>
      <c r="R26">
        <v>1.6303291248817516E-2</v>
      </c>
      <c r="S26">
        <v>1.6632650667985551E-2</v>
      </c>
      <c r="T26">
        <v>1.5852995167923725E-2</v>
      </c>
      <c r="U26">
        <v>1.630329124881752E-2</v>
      </c>
      <c r="V26">
        <v>1.5539074471529196E-2</v>
      </c>
      <c r="AC26" s="7"/>
    </row>
    <row r="27" spans="1:29">
      <c r="A27" s="7"/>
      <c r="B27" s="4">
        <v>0.73051972302490376</v>
      </c>
      <c r="C27" s="1" t="s">
        <v>14</v>
      </c>
      <c r="D27" s="4">
        <v>1.4499196076865849E-2</v>
      </c>
      <c r="E27" s="4">
        <v>0.13347220702069421</v>
      </c>
      <c r="F27" s="4">
        <v>1.5961622000453606E-3</v>
      </c>
      <c r="G27" s="4">
        <v>1.4693455449090844E-2</v>
      </c>
      <c r="H27" s="4">
        <v>1.62835038404508E-3</v>
      </c>
      <c r="I27" s="4">
        <v>1.4989763460628502E-2</v>
      </c>
      <c r="J27" s="4">
        <v>1.7925899599282661E-4</v>
      </c>
      <c r="K27" s="4">
        <v>1.6501669262650746E-3</v>
      </c>
      <c r="M27" s="4">
        <v>0.12761682418799997</v>
      </c>
      <c r="N27" s="1" t="s">
        <v>14</v>
      </c>
      <c r="O27">
        <v>1.6894262303769229E-2</v>
      </c>
      <c r="P27">
        <v>1.6102343758280045E-2</v>
      </c>
      <c r="Q27">
        <v>1.6559722456169837E-2</v>
      </c>
      <c r="R27">
        <v>1.5783485466036876E-2</v>
      </c>
      <c r="S27">
        <v>1.6102343758280045E-2</v>
      </c>
      <c r="T27">
        <v>1.5347546394610665E-2</v>
      </c>
      <c r="U27">
        <v>1.5783485466036876E-2</v>
      </c>
      <c r="V27">
        <v>1.5043634584816395E-2</v>
      </c>
      <c r="AC27" s="7"/>
    </row>
    <row r="28" spans="1:29">
      <c r="A28" s="7"/>
      <c r="B28" s="4">
        <v>8.7361106428634327E-3</v>
      </c>
      <c r="C28" s="1" t="s">
        <v>15</v>
      </c>
      <c r="D28" s="4">
        <v>1.7339241798370084E-4</v>
      </c>
      <c r="E28" s="4">
        <v>1.5961622000453608E-3</v>
      </c>
      <c r="F28" s="4">
        <v>1.908812198226881E-5</v>
      </c>
      <c r="G28" s="4">
        <v>1.7571551935342646E-4</v>
      </c>
      <c r="H28" s="4">
        <v>1.9473052775991962E-5</v>
      </c>
      <c r="I28" s="4">
        <v>1.7925899599282664E-4</v>
      </c>
      <c r="J28" s="4">
        <v>2.1437154581363158E-6</v>
      </c>
      <c r="K28" s="4">
        <v>1.9733951586347665E-5</v>
      </c>
      <c r="M28" s="4">
        <v>0.12649834418799999</v>
      </c>
      <c r="N28" s="1" t="s">
        <v>15</v>
      </c>
      <c r="O28">
        <v>1.6746194879103633E-2</v>
      </c>
      <c r="P28">
        <v>1.5961216994145648E-2</v>
      </c>
      <c r="Q28">
        <v>1.6414587059715439E-2</v>
      </c>
      <c r="R28">
        <v>1.5645153291291278E-2</v>
      </c>
      <c r="S28">
        <v>1.5961216994145648E-2</v>
      </c>
      <c r="T28">
        <v>1.5213034947545069E-2</v>
      </c>
      <c r="U28">
        <v>1.5645153291291278E-2</v>
      </c>
      <c r="V28">
        <v>1.4911786730761998E-2</v>
      </c>
      <c r="AC28" s="7"/>
    </row>
    <row r="29" spans="1:29">
      <c r="A29" s="7"/>
      <c r="B29" s="4">
        <v>8.0420180684390524E-2</v>
      </c>
      <c r="C29" s="1" t="s">
        <v>16</v>
      </c>
      <c r="D29" s="4">
        <v>1.5961622000453606E-3</v>
      </c>
      <c r="E29" s="4">
        <v>1.4693455449090844E-2</v>
      </c>
      <c r="F29" s="4">
        <v>1.7571551935342643E-4</v>
      </c>
      <c r="G29" s="4">
        <v>1.6175474868782497E-3</v>
      </c>
      <c r="H29" s="4">
        <v>1.7925899599282664E-4</v>
      </c>
      <c r="I29" s="4">
        <v>1.6501669262650746E-3</v>
      </c>
      <c r="J29" s="4">
        <v>1.9733951586347662E-5</v>
      </c>
      <c r="K29" s="4">
        <v>1.8166069742804001E-4</v>
      </c>
      <c r="M29" s="4">
        <v>0.122465135812</v>
      </c>
      <c r="N29" s="1" t="s">
        <v>16</v>
      </c>
      <c r="O29">
        <v>1.6212267783961971E-2</v>
      </c>
      <c r="P29">
        <v>1.5452317731588752E-2</v>
      </c>
      <c r="Q29">
        <v>1.5891232778338961E-2</v>
      </c>
      <c r="R29">
        <v>1.5146331241854319E-2</v>
      </c>
      <c r="S29">
        <v>1.5452317731588752E-2</v>
      </c>
      <c r="T29">
        <v>1.4727990337920526E-2</v>
      </c>
      <c r="U29">
        <v>1.514633124185432E-2</v>
      </c>
      <c r="V29">
        <v>1.4436346964892398E-2</v>
      </c>
      <c r="AC29" s="7"/>
    </row>
    <row r="30" spans="1:29">
      <c r="A30" s="7"/>
      <c r="B30" s="4">
        <v>8.9122829246067303E-3</v>
      </c>
      <c r="C30" s="1" t="s">
        <v>17</v>
      </c>
      <c r="D30" s="4">
        <v>1.7688904699424688E-4</v>
      </c>
      <c r="E30" s="4">
        <v>1.62835038404508E-3</v>
      </c>
      <c r="F30" s="4">
        <v>1.9473052775991959E-5</v>
      </c>
      <c r="G30" s="4">
        <v>1.7925899599282664E-4</v>
      </c>
      <c r="H30" s="4">
        <v>1.98657460785724E-5</v>
      </c>
      <c r="I30" s="4">
        <v>1.8287393033124041E-4</v>
      </c>
      <c r="J30" s="4">
        <v>2.1869455932739435E-6</v>
      </c>
      <c r="K30" s="4">
        <v>2.0131906170590327E-5</v>
      </c>
      <c r="M30" s="4">
        <v>0.12746373418799997</v>
      </c>
      <c r="N30" s="1" t="s">
        <v>17</v>
      </c>
      <c r="O30">
        <v>1.6873995833164429E-2</v>
      </c>
      <c r="P30">
        <v>1.6083027278484846E-2</v>
      </c>
      <c r="Q30">
        <v>1.6539857301814637E-2</v>
      </c>
      <c r="R30">
        <v>1.5764551490792075E-2</v>
      </c>
      <c r="S30">
        <v>1.6083027278484846E-2</v>
      </c>
      <c r="T30">
        <v>1.5329135374805866E-2</v>
      </c>
      <c r="U30">
        <v>1.5764551490792075E-2</v>
      </c>
      <c r="V30">
        <v>1.5025588139661197E-2</v>
      </c>
      <c r="AC30" s="7"/>
    </row>
    <row r="31" spans="1:29">
      <c r="A31" s="7"/>
      <c r="B31" s="4">
        <v>8.2041932892960731E-2</v>
      </c>
      <c r="C31" s="1" t="s">
        <v>18</v>
      </c>
      <c r="D31" s="4">
        <v>1.62835038404508E-3</v>
      </c>
      <c r="E31" s="4">
        <v>1.4989763460628502E-2</v>
      </c>
      <c r="F31" s="4">
        <v>1.7925899599282664E-4</v>
      </c>
      <c r="G31" s="4">
        <v>1.6501669262650748E-3</v>
      </c>
      <c r="H31" s="4">
        <v>1.8287393033124041E-4</v>
      </c>
      <c r="I31" s="4">
        <v>1.6834441687980466E-3</v>
      </c>
      <c r="J31" s="4">
        <v>2.0131906170590331E-5</v>
      </c>
      <c r="K31" s="4">
        <v>1.853240644430996E-4</v>
      </c>
      <c r="M31" s="4">
        <v>0.12339974581199999</v>
      </c>
      <c r="N31" s="1" t="s">
        <v>18</v>
      </c>
      <c r="O31">
        <v>1.6335993997901168E-2</v>
      </c>
      <c r="P31">
        <v>1.5570244279249549E-2</v>
      </c>
      <c r="Q31">
        <v>1.6012508968239757E-2</v>
      </c>
      <c r="R31">
        <v>1.5261922610353518E-2</v>
      </c>
      <c r="S31">
        <v>1.5570244279249549E-2</v>
      </c>
      <c r="T31">
        <v>1.4840389078659725E-2</v>
      </c>
      <c r="U31">
        <v>1.526192261035352E-2</v>
      </c>
      <c r="V31">
        <v>1.4546519987993197E-2</v>
      </c>
      <c r="AC31" s="7"/>
    </row>
    <row r="32" spans="1:29">
      <c r="A32" s="7"/>
      <c r="B32" s="4">
        <v>9.8111985278027643E-4</v>
      </c>
      <c r="C32" s="1" t="s">
        <v>19</v>
      </c>
      <c r="D32" s="4">
        <v>1.9473052775991966E-5</v>
      </c>
      <c r="E32" s="4">
        <v>1.7925899599282669E-4</v>
      </c>
      <c r="F32" s="4">
        <v>2.1437154581363163E-6</v>
      </c>
      <c r="G32" s="4">
        <v>1.9733951586347669E-5</v>
      </c>
      <c r="H32" s="4">
        <v>2.1869455932739443E-6</v>
      </c>
      <c r="I32" s="4">
        <v>2.0131906170590334E-5</v>
      </c>
      <c r="J32" s="4">
        <v>2.4075265077001427E-7</v>
      </c>
      <c r="K32" s="4">
        <v>2.2162461610976634E-6</v>
      </c>
      <c r="M32" s="4">
        <v>0.122318225812</v>
      </c>
      <c r="N32" s="1" t="s">
        <v>19</v>
      </c>
      <c r="O32">
        <v>1.619281943856677E-2</v>
      </c>
      <c r="P32">
        <v>1.5433781027383952E-2</v>
      </c>
      <c r="Q32">
        <v>1.5872169548694161E-2</v>
      </c>
      <c r="R32">
        <v>1.5128161601099119E-2</v>
      </c>
      <c r="S32">
        <v>1.5433781027383952E-2</v>
      </c>
      <c r="T32">
        <v>1.4710322541725327E-2</v>
      </c>
      <c r="U32">
        <v>1.5128161601099121E-2</v>
      </c>
      <c r="V32">
        <v>1.4419029026047598E-2</v>
      </c>
      <c r="AC32" s="7"/>
    </row>
    <row r="33" spans="1:29">
      <c r="A33" s="7"/>
      <c r="B33" s="4">
        <v>9.0316891645697873E-3</v>
      </c>
      <c r="C33" s="1" t="s">
        <v>20</v>
      </c>
      <c r="D33" s="4">
        <v>1.7925899599282666E-4</v>
      </c>
      <c r="E33" s="4">
        <v>1.6501669262650751E-3</v>
      </c>
      <c r="F33" s="4">
        <v>1.9733951586347665E-5</v>
      </c>
      <c r="G33" s="4">
        <v>1.8166069742804006E-4</v>
      </c>
      <c r="H33" s="4">
        <v>2.0131906170590334E-5</v>
      </c>
      <c r="I33" s="4">
        <v>1.8532406444309962E-4</v>
      </c>
      <c r="J33" s="4">
        <v>2.216246161097663E-6</v>
      </c>
      <c r="K33" s="4">
        <v>2.0401632259792702E-5</v>
      </c>
      <c r="M33" s="4">
        <v>0.11841829418800001</v>
      </c>
      <c r="N33" s="1" t="s">
        <v>20</v>
      </c>
      <c r="O33">
        <v>1.5676535882367636E-2</v>
      </c>
      <c r="P33">
        <v>1.494169826288165E-2</v>
      </c>
      <c r="Q33">
        <v>1.5366109429251443E-2</v>
      </c>
      <c r="R33">
        <v>1.464582304975528E-2</v>
      </c>
      <c r="S33">
        <v>1.494169826288165E-2</v>
      </c>
      <c r="T33">
        <v>1.4241306156809071E-2</v>
      </c>
      <c r="U33">
        <v>1.4645823049755282E-2</v>
      </c>
      <c r="V33">
        <v>1.3959300094298001E-2</v>
      </c>
      <c r="AC33" s="7"/>
    </row>
    <row r="34" spans="1:29">
      <c r="A34" s="7"/>
      <c r="X34" t="s">
        <v>86</v>
      </c>
      <c r="AC34" s="7"/>
    </row>
    <row r="35" spans="1:29">
      <c r="A35" s="7"/>
      <c r="C35" s="1" t="s">
        <v>27</v>
      </c>
      <c r="D35" s="4">
        <v>6.4121432261400087E-5</v>
      </c>
      <c r="E35" s="4">
        <v>6.9655641413299228E-6</v>
      </c>
      <c r="F35" s="4">
        <v>5.8246537793031964E-4</v>
      </c>
      <c r="G35" s="4">
        <v>6.3273695034413244E-5</v>
      </c>
      <c r="H35" s="4">
        <v>7.2012377993126062E-6</v>
      </c>
      <c r="I35" s="4">
        <v>7.8227640929158239E-7</v>
      </c>
      <c r="J35" s="4">
        <v>6.5414504143378513E-5</v>
      </c>
      <c r="K35" s="4">
        <v>7.1060316077544516E-6</v>
      </c>
      <c r="P35" t="s">
        <v>63</v>
      </c>
      <c r="AA35" t="s">
        <v>44</v>
      </c>
      <c r="AC35" s="7"/>
    </row>
    <row r="36" spans="1:29">
      <c r="A36" s="7"/>
      <c r="C36" s="1"/>
      <c r="D36" s="1" t="s">
        <v>13</v>
      </c>
      <c r="E36" s="1" t="s">
        <v>14</v>
      </c>
      <c r="F36" s="1" t="s">
        <v>15</v>
      </c>
      <c r="G36" s="1" t="s">
        <v>16</v>
      </c>
      <c r="H36" s="1" t="s">
        <v>17</v>
      </c>
      <c r="I36" s="1" t="s">
        <v>18</v>
      </c>
      <c r="J36" s="1" t="s">
        <v>19</v>
      </c>
      <c r="K36" s="1" t="s">
        <v>20</v>
      </c>
      <c r="L36" s="1"/>
      <c r="O36" s="1" t="s">
        <v>13</v>
      </c>
      <c r="P36" s="1" t="s">
        <v>14</v>
      </c>
      <c r="Q36" s="1" t="s">
        <v>15</v>
      </c>
      <c r="R36" s="1" t="s">
        <v>16</v>
      </c>
      <c r="S36" s="1" t="s">
        <v>17</v>
      </c>
      <c r="T36" s="1" t="s">
        <v>18</v>
      </c>
      <c r="U36" s="1" t="s">
        <v>19</v>
      </c>
      <c r="V36" s="1" t="s">
        <v>20</v>
      </c>
      <c r="X36" s="1" t="s">
        <v>47</v>
      </c>
      <c r="Y36" s="1" t="s">
        <v>48</v>
      </c>
      <c r="Z36" s="1" t="s">
        <v>66</v>
      </c>
      <c r="AC36" s="7"/>
    </row>
    <row r="37" spans="1:29">
      <c r="A37" s="7"/>
      <c r="B37" s="4">
        <v>8.0420180684390524E-2</v>
      </c>
      <c r="C37" s="1" t="s">
        <v>13</v>
      </c>
      <c r="D37" s="4">
        <v>5.1566571682037027E-6</v>
      </c>
      <c r="E37" s="4">
        <v>5.6017192681446397E-7</v>
      </c>
      <c r="F37" s="4">
        <v>4.6841970935558117E-5</v>
      </c>
      <c r="G37" s="4">
        <v>5.088481987236537E-6</v>
      </c>
      <c r="H37" s="4">
        <v>5.791248449719826E-7</v>
      </c>
      <c r="I37" s="4">
        <v>6.2910810180365289E-8</v>
      </c>
      <c r="J37" s="4">
        <v>5.2606462425903124E-6</v>
      </c>
      <c r="K37" s="4">
        <v>5.7146834584460313E-7</v>
      </c>
      <c r="N37" s="1" t="s">
        <v>13</v>
      </c>
      <c r="O37" s="5">
        <v>174.50649881165168</v>
      </c>
      <c r="P37" s="5">
        <v>166.3265066798555</v>
      </c>
      <c r="Q37" s="5">
        <v>171.05092457775757</v>
      </c>
      <c r="R37" s="5">
        <v>163.03291248817516</v>
      </c>
      <c r="S37" s="5">
        <v>166.3265066798555</v>
      </c>
      <c r="T37" s="5">
        <v>158.52995167923726</v>
      </c>
      <c r="U37" s="5">
        <v>163.03291248817519</v>
      </c>
      <c r="V37" s="5">
        <v>155.39074471529196</v>
      </c>
      <c r="X37">
        <v>1318.1969581199996</v>
      </c>
      <c r="Y37">
        <v>174.50649881165168</v>
      </c>
      <c r="Z37">
        <v>1143.690459308348</v>
      </c>
      <c r="AA37">
        <v>8690.6576763425146</v>
      </c>
      <c r="AB37">
        <v>165.21585353433341</v>
      </c>
      <c r="AC37" s="7"/>
    </row>
    <row r="38" spans="1:29">
      <c r="A38" s="7"/>
      <c r="B38" s="4">
        <v>8.7361106428634327E-3</v>
      </c>
      <c r="C38" s="1" t="s">
        <v>14</v>
      </c>
      <c r="D38" s="4">
        <v>5.6017192681446397E-7</v>
      </c>
      <c r="E38" s="4">
        <v>6.0851939028620223E-8</v>
      </c>
      <c r="F38" s="4">
        <v>5.088481987236537E-6</v>
      </c>
      <c r="G38" s="4">
        <v>5.5276600060343267E-7</v>
      </c>
      <c r="H38" s="4">
        <v>6.2910810180365302E-8</v>
      </c>
      <c r="I38" s="4">
        <v>6.8340532648731837E-9</v>
      </c>
      <c r="J38" s="4">
        <v>5.7146834584460313E-7</v>
      </c>
      <c r="K38" s="4">
        <v>6.2079078357027618E-8</v>
      </c>
      <c r="N38" s="1" t="s">
        <v>14</v>
      </c>
      <c r="O38" s="5">
        <v>168.9426230376923</v>
      </c>
      <c r="P38" s="5">
        <v>161.02343758280045</v>
      </c>
      <c r="Q38" s="5">
        <v>165.59722456169837</v>
      </c>
      <c r="R38" s="5">
        <v>157.83485466036876</v>
      </c>
      <c r="S38" s="5">
        <v>161.02343758280045</v>
      </c>
      <c r="T38" s="5">
        <v>153.47546394610666</v>
      </c>
      <c r="U38" s="5">
        <v>157.83485466036876</v>
      </c>
      <c r="V38" s="5">
        <v>150.43634584816394</v>
      </c>
      <c r="X38">
        <v>1276.1682418799996</v>
      </c>
      <c r="Y38">
        <v>161.02343758280045</v>
      </c>
      <c r="Z38">
        <v>1115.1448042971992</v>
      </c>
      <c r="AA38">
        <v>9107.1477341284663</v>
      </c>
      <c r="AB38">
        <v>159.04925127486575</v>
      </c>
      <c r="AC38" s="7"/>
    </row>
    <row r="39" spans="1:29">
      <c r="A39" s="7"/>
      <c r="B39" s="4">
        <v>0.73051972302490376</v>
      </c>
      <c r="C39" s="1" t="s">
        <v>15</v>
      </c>
      <c r="D39" s="4">
        <v>4.6841970935558117E-5</v>
      </c>
      <c r="E39" s="4">
        <v>5.088481987236537E-6</v>
      </c>
      <c r="F39" s="4">
        <v>4.25502446557253E-4</v>
      </c>
      <c r="G39" s="4">
        <v>4.6222682171301793E-5</v>
      </c>
      <c r="H39" s="4">
        <v>5.2606462425903124E-6</v>
      </c>
      <c r="I39" s="4">
        <v>5.7146834584460302E-7</v>
      </c>
      <c r="J39" s="4">
        <v>4.7786585448632288E-5</v>
      </c>
      <c r="K39" s="4">
        <v>5.1910962419029934E-6</v>
      </c>
      <c r="N39" s="1" t="s">
        <v>15</v>
      </c>
      <c r="O39" s="5">
        <v>167.46194879103632</v>
      </c>
      <c r="P39" s="5">
        <v>159.61216994145647</v>
      </c>
      <c r="Q39" s="5">
        <v>164.14587059715438</v>
      </c>
      <c r="R39" s="5">
        <v>156.45153291291277</v>
      </c>
      <c r="S39" s="5">
        <v>159.61216994145647</v>
      </c>
      <c r="T39" s="5">
        <v>152.13034947545069</v>
      </c>
      <c r="U39" s="5">
        <v>156.45153291291277</v>
      </c>
      <c r="V39" s="5">
        <v>149.11786730761997</v>
      </c>
      <c r="X39">
        <v>1264.9834418799999</v>
      </c>
      <c r="Y39">
        <v>164.14587059715438</v>
      </c>
      <c r="Z39">
        <v>1100.8375712828456</v>
      </c>
      <c r="AA39">
        <v>93.893298261214895</v>
      </c>
      <c r="AB39">
        <v>429.78231921802899</v>
      </c>
      <c r="AC39" s="7"/>
    </row>
    <row r="40" spans="1:29">
      <c r="A40" s="7"/>
      <c r="B40" s="4">
        <v>7.9356960812924759E-2</v>
      </c>
      <c r="C40" s="1" t="s">
        <v>16</v>
      </c>
      <c r="D40" s="4">
        <v>5.0884819872365361E-6</v>
      </c>
      <c r="E40" s="4">
        <v>5.5276600060343256E-7</v>
      </c>
      <c r="F40" s="4">
        <v>4.6222682171301786E-5</v>
      </c>
      <c r="G40" s="4">
        <v>5.0212081373348834E-6</v>
      </c>
      <c r="H40" s="4">
        <v>5.7146834584460302E-7</v>
      </c>
      <c r="I40" s="4">
        <v>6.2079078357027591E-8</v>
      </c>
      <c r="J40" s="4">
        <v>5.1910962419029934E-6</v>
      </c>
      <c r="K40" s="4">
        <v>5.6391307183197471E-7</v>
      </c>
      <c r="N40" s="1" t="s">
        <v>16</v>
      </c>
      <c r="O40" s="5">
        <v>162.12267783961971</v>
      </c>
      <c r="P40" s="5">
        <v>154.52317731588752</v>
      </c>
      <c r="Q40" s="5">
        <v>158.9123277833896</v>
      </c>
      <c r="R40" s="5">
        <v>151.46331241854318</v>
      </c>
      <c r="S40" s="5">
        <v>154.52317731588752</v>
      </c>
      <c r="T40" s="5">
        <v>147.27990337920525</v>
      </c>
      <c r="U40" s="5">
        <v>151.46331241854321</v>
      </c>
      <c r="V40" s="5">
        <v>144.36346964892397</v>
      </c>
      <c r="X40">
        <v>1224.6513581199999</v>
      </c>
      <c r="Y40">
        <v>151.46331241854318</v>
      </c>
      <c r="Z40">
        <v>1073.1880457014568</v>
      </c>
      <c r="AA40">
        <v>102.2763591449051</v>
      </c>
      <c r="AB40">
        <v>393.91465127322169</v>
      </c>
      <c r="AC40" s="7"/>
    </row>
    <row r="41" spans="1:29">
      <c r="A41" s="7"/>
      <c r="B41" s="4">
        <v>9.0316891645697873E-3</v>
      </c>
      <c r="C41" s="1" t="s">
        <v>17</v>
      </c>
      <c r="D41" s="4">
        <v>5.7912484497198281E-7</v>
      </c>
      <c r="E41" s="4">
        <v>6.2910810180365315E-8</v>
      </c>
      <c r="F41" s="4">
        <v>5.2606462425903141E-6</v>
      </c>
      <c r="G41" s="4">
        <v>5.7146834584460323E-7</v>
      </c>
      <c r="H41" s="4">
        <v>6.5039341403542044E-8</v>
      </c>
      <c r="I41" s="4">
        <v>7.065277369497345E-9</v>
      </c>
      <c r="J41" s="4">
        <v>5.9080346827745719E-7</v>
      </c>
      <c r="K41" s="4">
        <v>6.4179468674846302E-8</v>
      </c>
      <c r="N41" s="1" t="s">
        <v>17</v>
      </c>
      <c r="O41" s="5">
        <v>168.73995833164429</v>
      </c>
      <c r="P41" s="5">
        <v>160.83027278484846</v>
      </c>
      <c r="Q41" s="5">
        <v>165.39857301814638</v>
      </c>
      <c r="R41" s="5">
        <v>157.64551490792076</v>
      </c>
      <c r="S41" s="5">
        <v>160.83027278484846</v>
      </c>
      <c r="T41" s="5">
        <v>153.29135374805867</v>
      </c>
      <c r="U41" s="5">
        <v>157.64551490792076</v>
      </c>
      <c r="V41" s="5">
        <v>150.25588139661198</v>
      </c>
      <c r="X41">
        <v>1274.6373418799999</v>
      </c>
      <c r="Y41">
        <v>160.83027278484846</v>
      </c>
      <c r="Z41">
        <v>1113.8070690951515</v>
      </c>
      <c r="AA41">
        <v>116.41168808699464</v>
      </c>
      <c r="AB41">
        <v>400.39814246802734</v>
      </c>
      <c r="AC41" s="7"/>
    </row>
    <row r="42" spans="1:29">
      <c r="A42" s="7"/>
      <c r="B42" s="4">
        <v>9.8111985278027643E-4</v>
      </c>
      <c r="C42" s="1" t="s">
        <v>18</v>
      </c>
      <c r="D42" s="4">
        <v>6.2910810180365315E-8</v>
      </c>
      <c r="E42" s="4">
        <v>6.8340532648731861E-9</v>
      </c>
      <c r="F42" s="4">
        <v>5.7146834584460323E-7</v>
      </c>
      <c r="G42" s="4">
        <v>6.2079078357027631E-8</v>
      </c>
      <c r="H42" s="4">
        <v>7.0652773694973458E-9</v>
      </c>
      <c r="I42" s="4">
        <v>7.6750691551764061E-10</v>
      </c>
      <c r="J42" s="4">
        <v>6.4179468674846315E-8</v>
      </c>
      <c r="K42" s="4">
        <v>6.971868684852039E-9</v>
      </c>
      <c r="N42" s="1" t="s">
        <v>18</v>
      </c>
      <c r="O42" s="5">
        <v>163.35993997901167</v>
      </c>
      <c r="P42" s="5">
        <v>155.7024427924955</v>
      </c>
      <c r="Q42" s="5">
        <v>160.12508968239757</v>
      </c>
      <c r="R42" s="5">
        <v>152.6192261035352</v>
      </c>
      <c r="S42" s="5">
        <v>155.7024427924955</v>
      </c>
      <c r="T42" s="5">
        <v>148.40389078659726</v>
      </c>
      <c r="U42" s="5">
        <v>152.6192261035352</v>
      </c>
      <c r="V42" s="5">
        <v>145.46519987993196</v>
      </c>
      <c r="X42">
        <v>1233.9974581199997</v>
      </c>
      <c r="Y42">
        <v>148.40389078659726</v>
      </c>
      <c r="Z42">
        <v>1085.5935673334025</v>
      </c>
      <c r="AA42">
        <v>79.185279276611837</v>
      </c>
      <c r="AB42">
        <v>417.95411064147549</v>
      </c>
      <c r="AC42" s="7"/>
    </row>
    <row r="43" spans="1:29">
      <c r="A43" s="7"/>
      <c r="B43" s="4">
        <v>8.2041932892960731E-2</v>
      </c>
      <c r="C43" s="1" t="s">
        <v>19</v>
      </c>
      <c r="D43" s="4">
        <v>5.2606462425903133E-6</v>
      </c>
      <c r="E43" s="4">
        <v>5.7146834584460313E-7</v>
      </c>
      <c r="F43" s="4">
        <v>4.7786585448632295E-5</v>
      </c>
      <c r="G43" s="4">
        <v>5.1910962419029943E-6</v>
      </c>
      <c r="H43" s="4">
        <v>5.9080346827745708E-7</v>
      </c>
      <c r="I43" s="4">
        <v>6.4179468674846289E-8</v>
      </c>
      <c r="J43" s="4">
        <v>5.3667323591573617E-6</v>
      </c>
      <c r="K43" s="4">
        <v>5.8299256829864858E-7</v>
      </c>
      <c r="N43" s="1" t="s">
        <v>19</v>
      </c>
      <c r="O43" s="5">
        <v>161.92819438566769</v>
      </c>
      <c r="P43" s="5">
        <v>154.33781027383952</v>
      </c>
      <c r="Q43" s="5">
        <v>158.72169548694163</v>
      </c>
      <c r="R43" s="5">
        <v>151.2816160109912</v>
      </c>
      <c r="S43" s="5">
        <v>154.33781027383952</v>
      </c>
      <c r="T43" s="5">
        <v>147.10322541725327</v>
      </c>
      <c r="U43" s="5">
        <v>151.2816160109912</v>
      </c>
      <c r="V43" s="5">
        <v>144.19029026047599</v>
      </c>
      <c r="X43">
        <v>1223.1822581199999</v>
      </c>
      <c r="Y43">
        <v>151.2816160109912</v>
      </c>
      <c r="Z43">
        <v>1071.9006421090087</v>
      </c>
      <c r="AA43">
        <v>9324.8274103772874</v>
      </c>
      <c r="AB43">
        <v>126.27185500879303</v>
      </c>
      <c r="AC43" s="7"/>
    </row>
    <row r="44" spans="1:29">
      <c r="A44" s="7"/>
      <c r="B44" s="4">
        <v>8.9122829246067303E-3</v>
      </c>
      <c r="C44" s="1" t="s">
        <v>20</v>
      </c>
      <c r="D44" s="4">
        <v>5.7146834584460313E-7</v>
      </c>
      <c r="E44" s="4">
        <v>6.2079078357027618E-8</v>
      </c>
      <c r="F44" s="4">
        <v>5.1910962419029934E-6</v>
      </c>
      <c r="G44" s="4">
        <v>5.6391307183197481E-7</v>
      </c>
      <c r="H44" s="4">
        <v>6.4179468674846289E-8</v>
      </c>
      <c r="I44" s="4">
        <v>6.9718686848520357E-9</v>
      </c>
      <c r="J44" s="4">
        <v>5.8299256829864858E-7</v>
      </c>
      <c r="K44" s="4">
        <v>6.3330964159505716E-8</v>
      </c>
      <c r="N44" s="1" t="s">
        <v>20</v>
      </c>
      <c r="O44" s="5">
        <v>156.76535882367637</v>
      </c>
      <c r="P44" s="5">
        <v>149.4169826288165</v>
      </c>
      <c r="Q44" s="5">
        <v>153.66109429251443</v>
      </c>
      <c r="R44" s="5">
        <v>146.45823049755279</v>
      </c>
      <c r="S44" s="5">
        <v>149.4169826288165</v>
      </c>
      <c r="T44" s="5">
        <v>142.41306156809071</v>
      </c>
      <c r="U44" s="5">
        <v>146.45823049755282</v>
      </c>
      <c r="V44" s="5">
        <v>139.59300094298001</v>
      </c>
      <c r="X44">
        <v>1184.1829418800003</v>
      </c>
      <c r="Y44">
        <v>139.59300094298001</v>
      </c>
      <c r="Z44">
        <v>1044.5899409370202</v>
      </c>
      <c r="AA44">
        <v>9530.1891677014064</v>
      </c>
      <c r="AB44">
        <v>143.07220142252874</v>
      </c>
      <c r="AC44" s="7"/>
    </row>
    <row r="45" spans="1:29">
      <c r="A45" s="7"/>
      <c r="X45" s="9">
        <v>10000</v>
      </c>
      <c r="Y45" s="9">
        <v>1251.2478999355667</v>
      </c>
      <c r="Z45" s="9">
        <v>8748.7521000644319</v>
      </c>
      <c r="AA45" s="9">
        <v>37044.5886133194</v>
      </c>
      <c r="AB45" s="9">
        <v>2235.6583848412743</v>
      </c>
      <c r="AC45" s="7"/>
    </row>
    <row r="46" spans="1:29">
      <c r="A46" s="7"/>
      <c r="C46" s="1" t="s">
        <v>28</v>
      </c>
      <c r="D46" s="4">
        <v>0</v>
      </c>
      <c r="E46" s="4">
        <v>0</v>
      </c>
      <c r="F46" s="4">
        <v>0</v>
      </c>
      <c r="G46" s="4">
        <v>0</v>
      </c>
      <c r="H46" s="4">
        <v>0</v>
      </c>
      <c r="I46" s="4">
        <v>0</v>
      </c>
      <c r="J46" s="4">
        <v>0</v>
      </c>
      <c r="K46" s="4">
        <v>0</v>
      </c>
      <c r="P46" t="s">
        <v>70</v>
      </c>
      <c r="AB46" s="21">
        <v>39280.246998160677</v>
      </c>
      <c r="AC46" s="7"/>
    </row>
    <row r="47" spans="1:29">
      <c r="A47" s="7"/>
      <c r="C47" s="1"/>
      <c r="D47" s="1" t="s">
        <v>13</v>
      </c>
      <c r="E47" s="1" t="s">
        <v>14</v>
      </c>
      <c r="F47" s="1" t="s">
        <v>15</v>
      </c>
      <c r="G47" s="1" t="s">
        <v>16</v>
      </c>
      <c r="H47" s="1" t="s">
        <v>17</v>
      </c>
      <c r="I47" s="1" t="s">
        <v>18</v>
      </c>
      <c r="J47" s="1" t="s">
        <v>19</v>
      </c>
      <c r="K47" s="1" t="s">
        <v>20</v>
      </c>
      <c r="L47" s="1"/>
      <c r="O47" s="1" t="s">
        <v>13</v>
      </c>
      <c r="P47" s="1" t="s">
        <v>14</v>
      </c>
      <c r="Q47" s="1" t="s">
        <v>15</v>
      </c>
      <c r="R47" s="1" t="s">
        <v>16</v>
      </c>
      <c r="S47" s="1" t="s">
        <v>17</v>
      </c>
      <c r="T47" s="1" t="s">
        <v>18</v>
      </c>
      <c r="U47" s="1" t="s">
        <v>19</v>
      </c>
      <c r="V47" s="1" t="s">
        <v>20</v>
      </c>
      <c r="Z47" t="s">
        <v>68</v>
      </c>
      <c r="AC47" s="7"/>
    </row>
    <row r="48" spans="1:29">
      <c r="A48" s="7"/>
      <c r="B48" s="4">
        <v>8.7361106428634327E-3</v>
      </c>
      <c r="C48" s="1" t="s">
        <v>13</v>
      </c>
      <c r="D48" s="4">
        <v>0</v>
      </c>
      <c r="E48" s="4">
        <v>0</v>
      </c>
      <c r="F48" s="4">
        <v>0</v>
      </c>
      <c r="G48" s="4">
        <v>0</v>
      </c>
      <c r="H48" s="4">
        <v>0</v>
      </c>
      <c r="I48" s="4">
        <v>0</v>
      </c>
      <c r="J48" s="4">
        <v>0</v>
      </c>
      <c r="K48" s="4">
        <v>0</v>
      </c>
      <c r="N48" s="1" t="s">
        <v>13</v>
      </c>
      <c r="O48">
        <v>8690.6576763425146</v>
      </c>
      <c r="P48">
        <v>91.95848127471244</v>
      </c>
      <c r="Q48">
        <v>0.37893619526900446</v>
      </c>
      <c r="R48">
        <v>100.54673274265198</v>
      </c>
      <c r="S48">
        <v>6.2828412318798899</v>
      </c>
      <c r="T48">
        <v>97.821949107830434</v>
      </c>
      <c r="U48">
        <v>88.374180774320209</v>
      </c>
      <c r="V48">
        <v>136.03428368656867</v>
      </c>
      <c r="W48" s="7">
        <v>9212.0550813557493</v>
      </c>
      <c r="Z48" t="s">
        <v>67</v>
      </c>
      <c r="AC48" s="7"/>
    </row>
    <row r="49" spans="1:29">
      <c r="A49" s="7"/>
      <c r="B49" s="4">
        <v>8.0420180684390524E-2</v>
      </c>
      <c r="C49" s="1" t="s">
        <v>14</v>
      </c>
      <c r="D49" s="4">
        <v>0</v>
      </c>
      <c r="E49" s="4">
        <v>0</v>
      </c>
      <c r="F49" s="4">
        <v>0</v>
      </c>
      <c r="G49" s="4">
        <v>0</v>
      </c>
      <c r="H49" s="4">
        <v>0</v>
      </c>
      <c r="I49" s="4">
        <v>0</v>
      </c>
      <c r="J49" s="4">
        <v>0</v>
      </c>
      <c r="K49" s="4">
        <v>0</v>
      </c>
      <c r="N49" s="1" t="s">
        <v>14</v>
      </c>
      <c r="O49">
        <v>98.58853999606221</v>
      </c>
      <c r="P49">
        <v>9107.1477341284663</v>
      </c>
      <c r="Q49">
        <v>117.67941858269862</v>
      </c>
      <c r="R49">
        <v>5.0916516270802986E-2</v>
      </c>
      <c r="S49">
        <v>103.38276027129695</v>
      </c>
      <c r="T49">
        <v>0.46804542729369664</v>
      </c>
      <c r="U49">
        <v>140.34804929139179</v>
      </c>
      <c r="V49">
        <v>98.026750183355816</v>
      </c>
      <c r="W49" s="7">
        <v>9665.692214396835</v>
      </c>
      <c r="Z49" t="s">
        <v>69</v>
      </c>
      <c r="AB49">
        <v>12</v>
      </c>
      <c r="AC49" s="7"/>
    </row>
    <row r="50" spans="1:29">
      <c r="A50" s="7"/>
      <c r="B50" s="4">
        <v>7.9356960812924759E-2</v>
      </c>
      <c r="C50" s="1" t="s">
        <v>15</v>
      </c>
      <c r="D50" s="4">
        <v>0</v>
      </c>
      <c r="E50" s="4">
        <v>0</v>
      </c>
      <c r="F50" s="4">
        <v>0</v>
      </c>
      <c r="G50" s="4">
        <v>0</v>
      </c>
      <c r="H50" s="4">
        <v>0</v>
      </c>
      <c r="I50" s="4">
        <v>0</v>
      </c>
      <c r="J50" s="4">
        <v>0</v>
      </c>
      <c r="K50" s="4">
        <v>0</v>
      </c>
      <c r="N50" s="1" t="s">
        <v>15</v>
      </c>
      <c r="O50">
        <v>0.78451416000344021</v>
      </c>
      <c r="P50">
        <v>105.25083772180247</v>
      </c>
      <c r="Q50">
        <v>93.893298261214895</v>
      </c>
      <c r="R50">
        <v>146.6113268090449</v>
      </c>
      <c r="S50">
        <v>97.287023309149632</v>
      </c>
      <c r="T50">
        <v>142.29468223407645</v>
      </c>
      <c r="U50">
        <v>0.35490443409800199</v>
      </c>
      <c r="V50">
        <v>90.420815100948232</v>
      </c>
      <c r="W50" s="7">
        <v>676.89740203033784</v>
      </c>
      <c r="AC50" s="7"/>
    </row>
    <row r="51" spans="1:29">
      <c r="A51" s="7"/>
      <c r="B51" s="4">
        <v>0.73051972302490376</v>
      </c>
      <c r="C51" s="1" t="s">
        <v>16</v>
      </c>
      <c r="D51" s="4">
        <v>0</v>
      </c>
      <c r="E51" s="4">
        <v>0</v>
      </c>
      <c r="F51" s="4">
        <v>0</v>
      </c>
      <c r="G51" s="4">
        <v>0</v>
      </c>
      <c r="H51" s="4">
        <v>0</v>
      </c>
      <c r="I51" s="4">
        <v>0</v>
      </c>
      <c r="J51" s="4">
        <v>0</v>
      </c>
      <c r="K51" s="4">
        <v>0</v>
      </c>
      <c r="N51" s="1" t="s">
        <v>16</v>
      </c>
      <c r="O51">
        <v>102.83981337248633</v>
      </c>
      <c r="P51">
        <v>4.1200445641851234E-2</v>
      </c>
      <c r="Q51">
        <v>147.13886779134336</v>
      </c>
      <c r="R51">
        <v>102.2763591449051</v>
      </c>
      <c r="S51">
        <v>142.75615207491936</v>
      </c>
      <c r="T51">
        <v>90.232651014865226</v>
      </c>
      <c r="U51">
        <v>84.996974246892435</v>
      </c>
      <c r="V51">
        <v>0.9379716277311223</v>
      </c>
      <c r="W51" s="7">
        <v>671.21998971878486</v>
      </c>
      <c r="AC51" s="7"/>
    </row>
    <row r="52" spans="1:29">
      <c r="A52" s="7"/>
      <c r="B52" s="4">
        <v>9.8111985278027643E-4</v>
      </c>
      <c r="C52" s="1" t="s">
        <v>17</v>
      </c>
      <c r="D52" s="4">
        <v>0</v>
      </c>
      <c r="E52" s="4">
        <v>0</v>
      </c>
      <c r="F52" s="4">
        <v>0</v>
      </c>
      <c r="G52" s="4">
        <v>0</v>
      </c>
      <c r="H52" s="4">
        <v>0</v>
      </c>
      <c r="I52" s="4">
        <v>0</v>
      </c>
      <c r="J52" s="4">
        <v>0</v>
      </c>
      <c r="K52" s="4">
        <v>0</v>
      </c>
      <c r="N52" s="1" t="s">
        <v>17</v>
      </c>
      <c r="O52">
        <v>0.31236350623405756</v>
      </c>
      <c r="P52">
        <v>96.888457214677359</v>
      </c>
      <c r="Q52">
        <v>95.072175219203217</v>
      </c>
      <c r="R52">
        <v>151.70260501927126</v>
      </c>
      <c r="S52">
        <v>116.41168808699464</v>
      </c>
      <c r="T52">
        <v>143.45444187657171</v>
      </c>
      <c r="U52">
        <v>3.5164971563329102E-2</v>
      </c>
      <c r="V52">
        <v>102.75487334099815</v>
      </c>
      <c r="W52" s="7">
        <v>706.63176923551384</v>
      </c>
      <c r="AC52" s="7"/>
    </row>
    <row r="53" spans="1:29">
      <c r="A53" s="7"/>
      <c r="B53" s="4">
        <v>9.0316891645697873E-3</v>
      </c>
      <c r="C53" s="1" t="s">
        <v>18</v>
      </c>
      <c r="D53" s="4">
        <v>0</v>
      </c>
      <c r="E53" s="4">
        <v>0</v>
      </c>
      <c r="F53" s="4">
        <v>0</v>
      </c>
      <c r="G53" s="4">
        <v>0</v>
      </c>
      <c r="H53" s="4">
        <v>0</v>
      </c>
      <c r="I53" s="4">
        <v>0</v>
      </c>
      <c r="J53" s="4">
        <v>0</v>
      </c>
      <c r="K53" s="4">
        <v>0</v>
      </c>
      <c r="N53" s="1" t="s">
        <v>18</v>
      </c>
      <c r="O53">
        <v>108.86924660654613</v>
      </c>
      <c r="P53">
        <v>0.28851659987469441</v>
      </c>
      <c r="Q53">
        <v>140.74960143254458</v>
      </c>
      <c r="R53">
        <v>74.483796472700405</v>
      </c>
      <c r="S53">
        <v>136.34469347402955</v>
      </c>
      <c r="T53">
        <v>79.185279276611837</v>
      </c>
      <c r="U53">
        <v>100.12967207729132</v>
      </c>
      <c r="V53">
        <v>0.3831102510657905</v>
      </c>
      <c r="W53" s="7">
        <v>640.43391619066426</v>
      </c>
      <c r="AC53" s="7"/>
    </row>
    <row r="54" spans="1:29">
      <c r="A54" s="7"/>
      <c r="B54" s="4">
        <v>8.9122829246067303E-3</v>
      </c>
      <c r="C54" s="1" t="s">
        <v>19</v>
      </c>
      <c r="D54" s="4">
        <v>0</v>
      </c>
      <c r="E54" s="4">
        <v>0</v>
      </c>
      <c r="F54" s="4">
        <v>0</v>
      </c>
      <c r="G54" s="4">
        <v>0</v>
      </c>
      <c r="H54" s="4">
        <v>0</v>
      </c>
      <c r="I54" s="4">
        <v>0</v>
      </c>
      <c r="J54" s="4">
        <v>0</v>
      </c>
      <c r="K54" s="4">
        <v>0</v>
      </c>
      <c r="N54" s="1" t="s">
        <v>19</v>
      </c>
      <c r="O54">
        <v>82.995714887750736</v>
      </c>
      <c r="P54">
        <v>152.34428956752799</v>
      </c>
      <c r="Q54">
        <v>4.8798245098780692E-4</v>
      </c>
      <c r="R54">
        <v>100.46400380319352</v>
      </c>
      <c r="S54">
        <v>0.12191826447739329</v>
      </c>
      <c r="T54">
        <v>96.432816238774762</v>
      </c>
      <c r="U54">
        <v>9324.8274103772874</v>
      </c>
      <c r="V54">
        <v>151.51998275206341</v>
      </c>
      <c r="W54" s="7">
        <v>9908.706623873526</v>
      </c>
      <c r="AC54" s="7"/>
    </row>
    <row r="55" spans="1:29">
      <c r="A55" s="7"/>
      <c r="B55" s="4">
        <v>8.2041932892960731E-2</v>
      </c>
      <c r="C55" s="1" t="s">
        <v>20</v>
      </c>
      <c r="D55" s="4">
        <v>0</v>
      </c>
      <c r="E55" s="4">
        <v>0</v>
      </c>
      <c r="F55" s="4">
        <v>0</v>
      </c>
      <c r="G55" s="4">
        <v>0</v>
      </c>
      <c r="H55" s="4">
        <v>0</v>
      </c>
      <c r="I55" s="4">
        <v>0</v>
      </c>
      <c r="J55" s="4">
        <v>0</v>
      </c>
      <c r="K55" s="4">
        <v>0</v>
      </c>
      <c r="N55" s="1" t="s">
        <v>20</v>
      </c>
      <c r="O55">
        <v>143.07792787826651</v>
      </c>
      <c r="P55">
        <v>101.94123407672137</v>
      </c>
      <c r="Q55">
        <v>82.600753467399599</v>
      </c>
      <c r="R55">
        <v>2.3263033558669202</v>
      </c>
      <c r="S55">
        <v>93.848647778870614</v>
      </c>
      <c r="T55">
        <v>0.91464907026628384</v>
      </c>
      <c r="U55">
        <v>148.63332483234521</v>
      </c>
      <c r="V55">
        <v>9530.1891677014064</v>
      </c>
      <c r="W55" s="7">
        <v>10103.532008161143</v>
      </c>
      <c r="AC55" s="7"/>
    </row>
    <row r="56" spans="1:29">
      <c r="A56" s="7"/>
      <c r="O56" s="7">
        <v>9228.1257967498641</v>
      </c>
      <c r="P56" s="7">
        <v>9655.8607510294223</v>
      </c>
      <c r="Q56" s="7">
        <v>677.51353893212433</v>
      </c>
      <c r="R56" s="7">
        <v>678.46204386390491</v>
      </c>
      <c r="S56" s="7">
        <v>696.43572449161798</v>
      </c>
      <c r="T56" s="7">
        <v>650.80451424629041</v>
      </c>
      <c r="U56" s="7">
        <v>9887.6996810051896</v>
      </c>
      <c r="V56" s="7">
        <v>10110.266954644138</v>
      </c>
      <c r="W56" s="21">
        <v>41585.169004962554</v>
      </c>
      <c r="X56" t="s">
        <v>64</v>
      </c>
      <c r="AC56" s="7"/>
    </row>
    <row r="57" spans="1:29">
      <c r="A57" s="7"/>
      <c r="C57" s="1" t="s">
        <v>29</v>
      </c>
      <c r="D57" s="4">
        <v>0</v>
      </c>
      <c r="E57" s="4">
        <v>0</v>
      </c>
      <c r="F57" s="4">
        <v>0</v>
      </c>
      <c r="G57" s="4">
        <v>0</v>
      </c>
      <c r="H57" s="4">
        <v>0</v>
      </c>
      <c r="I57" s="4">
        <v>0</v>
      </c>
      <c r="J57" s="4">
        <v>0</v>
      </c>
      <c r="K57" s="4">
        <v>0</v>
      </c>
      <c r="X57">
        <v>1</v>
      </c>
      <c r="AC57" s="7"/>
    </row>
    <row r="58" spans="1:29">
      <c r="A58" s="7"/>
      <c r="C58" s="1"/>
      <c r="D58" s="1" t="s">
        <v>13</v>
      </c>
      <c r="E58" s="1" t="s">
        <v>14</v>
      </c>
      <c r="F58" s="1" t="s">
        <v>15</v>
      </c>
      <c r="G58" s="1" t="s">
        <v>16</v>
      </c>
      <c r="H58" s="1" t="s">
        <v>17</v>
      </c>
      <c r="I58" s="1" t="s">
        <v>18</v>
      </c>
      <c r="J58" s="1" t="s">
        <v>19</v>
      </c>
      <c r="K58" s="1" t="s">
        <v>20</v>
      </c>
      <c r="L58" s="1"/>
      <c r="X58">
        <v>0</v>
      </c>
      <c r="Y58" t="s">
        <v>65</v>
      </c>
      <c r="AC58" s="7"/>
    </row>
    <row r="59" spans="1:29">
      <c r="A59" s="7"/>
      <c r="B59" s="4">
        <v>8.2041932892960731E-2</v>
      </c>
      <c r="C59" s="1" t="s">
        <v>13</v>
      </c>
      <c r="D59" s="4">
        <v>0</v>
      </c>
      <c r="E59" s="4">
        <v>0</v>
      </c>
      <c r="F59" s="4">
        <v>0</v>
      </c>
      <c r="G59" s="4">
        <v>0</v>
      </c>
      <c r="H59" s="4">
        <v>0</v>
      </c>
      <c r="I59" s="4">
        <v>0</v>
      </c>
      <c r="J59" s="4">
        <v>0</v>
      </c>
      <c r="K59" s="4">
        <v>0</v>
      </c>
      <c r="AC59" s="7"/>
    </row>
    <row r="60" spans="1:29">
      <c r="A60" s="7"/>
      <c r="B60" s="4">
        <v>8.9122829246067303E-3</v>
      </c>
      <c r="C60" s="1" t="s">
        <v>14</v>
      </c>
      <c r="D60" s="4">
        <v>0</v>
      </c>
      <c r="E60" s="4">
        <v>0</v>
      </c>
      <c r="F60" s="4">
        <v>0</v>
      </c>
      <c r="G60" s="4">
        <v>0</v>
      </c>
      <c r="H60" s="4">
        <v>0</v>
      </c>
      <c r="I60" s="4">
        <v>0</v>
      </c>
      <c r="J60" s="4">
        <v>0</v>
      </c>
      <c r="K60" s="4">
        <v>0</v>
      </c>
      <c r="O60" s="22"/>
      <c r="P60" s="22"/>
      <c r="Q60" s="22"/>
      <c r="R60" s="22"/>
      <c r="S60" s="22"/>
      <c r="T60" s="22"/>
      <c r="U60" s="22"/>
      <c r="V60" s="22"/>
      <c r="AC60" s="7"/>
    </row>
    <row r="61" spans="1:29">
      <c r="A61" s="7"/>
      <c r="B61" s="4">
        <v>9.0316891645697873E-3</v>
      </c>
      <c r="C61" s="1" t="s">
        <v>15</v>
      </c>
      <c r="D61" s="4">
        <v>0</v>
      </c>
      <c r="E61" s="4">
        <v>0</v>
      </c>
      <c r="F61" s="4">
        <v>0</v>
      </c>
      <c r="G61" s="4">
        <v>0</v>
      </c>
      <c r="H61" s="4">
        <v>0</v>
      </c>
      <c r="I61" s="4">
        <v>0</v>
      </c>
      <c r="J61" s="4">
        <v>0</v>
      </c>
      <c r="K61" s="4">
        <v>0</v>
      </c>
      <c r="O61" s="22"/>
      <c r="P61" s="22"/>
      <c r="Q61" s="22"/>
      <c r="R61" s="22"/>
      <c r="S61" s="22"/>
      <c r="T61" s="22"/>
      <c r="U61" s="22"/>
      <c r="V61" s="22"/>
      <c r="AC61" s="7"/>
    </row>
    <row r="62" spans="1:29">
      <c r="A62" s="7"/>
      <c r="B62" s="4">
        <v>9.8111985278027643E-4</v>
      </c>
      <c r="C62" s="1" t="s">
        <v>16</v>
      </c>
      <c r="D62" s="4">
        <v>0</v>
      </c>
      <c r="E62" s="4">
        <v>0</v>
      </c>
      <c r="F62" s="4">
        <v>0</v>
      </c>
      <c r="G62" s="4">
        <v>0</v>
      </c>
      <c r="H62" s="4">
        <v>0</v>
      </c>
      <c r="I62" s="4">
        <v>0</v>
      </c>
      <c r="J62" s="4">
        <v>0</v>
      </c>
      <c r="K62" s="4">
        <v>0</v>
      </c>
      <c r="O62" s="22"/>
      <c r="P62" s="22"/>
      <c r="Q62" s="22"/>
      <c r="R62" s="22"/>
      <c r="S62" s="22"/>
      <c r="T62" s="22"/>
      <c r="U62" s="22"/>
      <c r="V62" s="22"/>
      <c r="AC62" s="7"/>
    </row>
    <row r="63" spans="1:29">
      <c r="A63" s="7"/>
      <c r="B63" s="4">
        <v>0.73051972302490376</v>
      </c>
      <c r="C63" s="1" t="s">
        <v>17</v>
      </c>
      <c r="D63" s="4">
        <v>0</v>
      </c>
      <c r="E63" s="4">
        <v>0</v>
      </c>
      <c r="F63" s="4">
        <v>0</v>
      </c>
      <c r="G63" s="4">
        <v>0</v>
      </c>
      <c r="H63" s="4">
        <v>0</v>
      </c>
      <c r="I63" s="4">
        <v>0</v>
      </c>
      <c r="J63" s="4">
        <v>0</v>
      </c>
      <c r="K63" s="4">
        <v>0</v>
      </c>
      <c r="O63" s="22"/>
      <c r="P63" s="22"/>
      <c r="Q63" s="22"/>
      <c r="R63" s="22"/>
      <c r="S63" s="22"/>
      <c r="T63" s="22"/>
      <c r="U63" s="22"/>
      <c r="V63" s="22"/>
      <c r="AC63" s="7"/>
    </row>
    <row r="64" spans="1:29">
      <c r="A64" s="7"/>
      <c r="B64" s="4">
        <v>7.9356960812924759E-2</v>
      </c>
      <c r="C64" s="1" t="s">
        <v>18</v>
      </c>
      <c r="D64" s="4">
        <v>0</v>
      </c>
      <c r="E64" s="4">
        <v>0</v>
      </c>
      <c r="F64" s="4">
        <v>0</v>
      </c>
      <c r="G64" s="4">
        <v>0</v>
      </c>
      <c r="H64" s="4">
        <v>0</v>
      </c>
      <c r="I64" s="4">
        <v>0</v>
      </c>
      <c r="J64" s="4">
        <v>0</v>
      </c>
      <c r="K64" s="4">
        <v>0</v>
      </c>
      <c r="O64" s="22"/>
      <c r="P64" s="22"/>
      <c r="Q64" s="22"/>
      <c r="R64" s="22"/>
      <c r="S64" s="22"/>
      <c r="T64" s="22"/>
      <c r="U64" s="22"/>
      <c r="V64" s="22"/>
      <c r="AC64" s="7"/>
    </row>
    <row r="65" spans="1:29">
      <c r="A65" s="7"/>
      <c r="B65" s="4">
        <v>8.0420180684390524E-2</v>
      </c>
      <c r="C65" s="1" t="s">
        <v>19</v>
      </c>
      <c r="D65" s="4">
        <v>0</v>
      </c>
      <c r="E65" s="4">
        <v>0</v>
      </c>
      <c r="F65" s="4">
        <v>0</v>
      </c>
      <c r="G65" s="4">
        <v>0</v>
      </c>
      <c r="H65" s="4">
        <v>0</v>
      </c>
      <c r="I65" s="4">
        <v>0</v>
      </c>
      <c r="J65" s="4">
        <v>0</v>
      </c>
      <c r="K65" s="4">
        <v>0</v>
      </c>
      <c r="O65" s="22"/>
      <c r="P65" s="22"/>
      <c r="Q65" s="22"/>
      <c r="R65" s="22"/>
      <c r="S65" s="22"/>
      <c r="T65" s="22"/>
      <c r="U65" s="22"/>
      <c r="V65" s="22"/>
      <c r="AC65" s="7"/>
    </row>
    <row r="66" spans="1:29">
      <c r="A66" s="7"/>
      <c r="B66" s="4">
        <v>8.7361106428634327E-3</v>
      </c>
      <c r="C66" s="1" t="s">
        <v>20</v>
      </c>
      <c r="D66" s="4">
        <v>0</v>
      </c>
      <c r="E66" s="4">
        <v>0</v>
      </c>
      <c r="F66" s="4">
        <v>0</v>
      </c>
      <c r="G66" s="4">
        <v>0</v>
      </c>
      <c r="H66" s="4">
        <v>0</v>
      </c>
      <c r="I66" s="4">
        <v>0</v>
      </c>
      <c r="J66" s="4">
        <v>0</v>
      </c>
      <c r="K66" s="4">
        <v>0</v>
      </c>
      <c r="O66" s="22"/>
      <c r="P66" s="22"/>
      <c r="Q66" s="22"/>
      <c r="R66" s="22"/>
      <c r="S66" s="22"/>
      <c r="T66" s="22"/>
      <c r="U66" s="22"/>
      <c r="V66" s="22"/>
      <c r="AC66" s="7"/>
    </row>
    <row r="67" spans="1:29">
      <c r="A67" s="7"/>
      <c r="O67" s="22"/>
      <c r="P67" s="22"/>
      <c r="Q67" s="22"/>
      <c r="R67" s="22"/>
      <c r="S67" s="22"/>
      <c r="T67" s="22"/>
      <c r="U67" s="22"/>
      <c r="V67" s="22"/>
      <c r="AC67" s="7"/>
    </row>
    <row r="68" spans="1:29">
      <c r="A68" s="7"/>
      <c r="C68" s="1" t="s">
        <v>30</v>
      </c>
      <c r="D68" s="4">
        <v>1.0499180222162378E-5</v>
      </c>
      <c r="E68" s="4">
        <v>9.6650100373216769E-5</v>
      </c>
      <c r="F68" s="4">
        <v>1.1558154337134768E-6</v>
      </c>
      <c r="G68" s="4">
        <v>1.0639847618342266E-5</v>
      </c>
      <c r="H68" s="4">
        <v>9.3487049334751692E-5</v>
      </c>
      <c r="I68" s="4">
        <v>8.605941140744309E-4</v>
      </c>
      <c r="J68" s="4">
        <v>1.029163917439497E-5</v>
      </c>
      <c r="K68" s="4">
        <v>9.473958329723201E-5</v>
      </c>
      <c r="O68" s="5"/>
      <c r="P68" s="5"/>
      <c r="Q68" s="5"/>
      <c r="R68" s="5"/>
      <c r="S68" s="5"/>
      <c r="T68" s="5"/>
      <c r="U68" s="5"/>
      <c r="V68" s="5"/>
      <c r="AC68" s="7"/>
    </row>
    <row r="69" spans="1:29">
      <c r="A69" s="7"/>
      <c r="C69" s="1"/>
      <c r="D69" s="1" t="s">
        <v>13</v>
      </c>
      <c r="E69" s="1" t="s">
        <v>14</v>
      </c>
      <c r="F69" s="1" t="s">
        <v>15</v>
      </c>
      <c r="G69" s="1" t="s">
        <v>16</v>
      </c>
      <c r="H69" s="1" t="s">
        <v>17</v>
      </c>
      <c r="I69" s="1" t="s">
        <v>18</v>
      </c>
      <c r="J69" s="1" t="s">
        <v>19</v>
      </c>
      <c r="K69" s="1" t="s">
        <v>20</v>
      </c>
      <c r="L69" s="1"/>
      <c r="AC69" s="7"/>
    </row>
    <row r="70" spans="1:29">
      <c r="A70" s="7"/>
      <c r="B70" s="4">
        <v>8.9122829246067303E-3</v>
      </c>
      <c r="C70" s="1" t="s">
        <v>13</v>
      </c>
      <c r="D70" s="4">
        <v>9.357166461634646E-8</v>
      </c>
      <c r="E70" s="4">
        <v>8.6137303921774639E-7</v>
      </c>
      <c r="F70" s="4">
        <v>1.0300954153881542E-8</v>
      </c>
      <c r="G70" s="4">
        <v>9.4825332249369362E-8</v>
      </c>
      <c r="H70" s="4">
        <v>8.3318303345797451E-7</v>
      </c>
      <c r="I70" s="4">
        <v>7.6698582278826077E-6</v>
      </c>
      <c r="J70" s="4">
        <v>9.172200008017399E-8</v>
      </c>
      <c r="K70" s="4">
        <v>8.4434597050427779E-7</v>
      </c>
      <c r="AC70" s="7"/>
    </row>
    <row r="71" spans="1:29">
      <c r="A71" s="7"/>
      <c r="B71" s="4">
        <v>8.2041932892960731E-2</v>
      </c>
      <c r="C71" s="1" t="s">
        <v>14</v>
      </c>
      <c r="D71" s="4">
        <v>8.6137303921774629E-7</v>
      </c>
      <c r="E71" s="4">
        <v>7.9293610489173697E-6</v>
      </c>
      <c r="F71" s="4">
        <v>9.4825332249369362E-8</v>
      </c>
      <c r="G71" s="4">
        <v>8.7291366429536426E-7</v>
      </c>
      <c r="H71" s="4">
        <v>7.6698582278826077E-6</v>
      </c>
      <c r="I71" s="4">
        <v>7.060480455497145E-5</v>
      </c>
      <c r="J71" s="4">
        <v>8.4434597050427789E-7</v>
      </c>
      <c r="K71" s="4">
        <v>7.7726185351785723E-6</v>
      </c>
      <c r="AC71" s="7"/>
    </row>
    <row r="72" spans="1:29">
      <c r="A72" s="7"/>
      <c r="B72" s="4">
        <v>9.8111985278027643E-4</v>
      </c>
      <c r="C72" s="1" t="s">
        <v>15</v>
      </c>
      <c r="D72" s="4">
        <v>1.0300954153881542E-8</v>
      </c>
      <c r="E72" s="4">
        <v>9.4825332249369375E-8</v>
      </c>
      <c r="F72" s="4">
        <v>1.1339934681661378E-9</v>
      </c>
      <c r="G72" s="4">
        <v>1.0438965728912539E-8</v>
      </c>
      <c r="H72" s="4">
        <v>9.1722000080174017E-8</v>
      </c>
      <c r="I72" s="4">
        <v>8.4434597050427811E-7</v>
      </c>
      <c r="J72" s="4">
        <v>1.0097331511650118E-8</v>
      </c>
      <c r="K72" s="4">
        <v>9.2950886017045009E-8</v>
      </c>
      <c r="AC72" s="7"/>
    </row>
    <row r="73" spans="1:29">
      <c r="A73" s="7"/>
      <c r="B73" s="4">
        <v>9.0316891645697873E-3</v>
      </c>
      <c r="C73" s="1" t="s">
        <v>16</v>
      </c>
      <c r="D73" s="4">
        <v>9.4825332249369362E-8</v>
      </c>
      <c r="E73" s="4">
        <v>8.7291366429536426E-7</v>
      </c>
      <c r="F73" s="4">
        <v>1.0438965728912537E-8</v>
      </c>
      <c r="G73" s="4">
        <v>9.6095796447255502E-8</v>
      </c>
      <c r="H73" s="4">
        <v>8.44345970504278E-7</v>
      </c>
      <c r="I73" s="4">
        <v>7.7726185351785723E-6</v>
      </c>
      <c r="J73" s="4">
        <v>9.2950886017044996E-8</v>
      </c>
      <c r="K73" s="4">
        <v>8.5565846792146716E-7</v>
      </c>
      <c r="AC73" s="7"/>
    </row>
    <row r="74" spans="1:29">
      <c r="A74" s="7"/>
      <c r="B74" s="4">
        <v>7.9356960812924759E-2</v>
      </c>
      <c r="C74" s="1" t="s">
        <v>17</v>
      </c>
      <c r="D74" s="4">
        <v>8.3318303345797451E-7</v>
      </c>
      <c r="E74" s="4">
        <v>7.6698582278826077E-6</v>
      </c>
      <c r="F74" s="4">
        <v>9.1722000080174017E-8</v>
      </c>
      <c r="G74" s="4">
        <v>8.44345970504278E-7</v>
      </c>
      <c r="H74" s="4">
        <v>7.4188481105738541E-6</v>
      </c>
      <c r="I74" s="4">
        <v>6.8294133386438309E-5</v>
      </c>
      <c r="J74" s="4">
        <v>8.1671320666322298E-7</v>
      </c>
      <c r="K74" s="4">
        <v>7.5182453991512618E-6</v>
      </c>
      <c r="AC74" s="7"/>
    </row>
    <row r="75" spans="1:29">
      <c r="A75" s="7"/>
      <c r="B75" s="4">
        <v>0.73051972302490376</v>
      </c>
      <c r="C75" s="1" t="s">
        <v>18</v>
      </c>
      <c r="D75" s="4">
        <v>7.6698582278826077E-6</v>
      </c>
      <c r="E75" s="4">
        <v>7.0604804554971463E-5</v>
      </c>
      <c r="F75" s="4">
        <v>8.4434597050427811E-7</v>
      </c>
      <c r="G75" s="4">
        <v>7.7726185351785739E-6</v>
      </c>
      <c r="H75" s="4">
        <v>6.8294133386438322E-5</v>
      </c>
      <c r="I75" s="4">
        <v>6.286809738505157E-4</v>
      </c>
      <c r="J75" s="4">
        <v>7.5182453991512626E-6</v>
      </c>
      <c r="K75" s="4">
        <v>6.9209134149788724E-5</v>
      </c>
      <c r="AC75" s="7"/>
    </row>
    <row r="76" spans="1:29">
      <c r="A76" s="7"/>
      <c r="B76" s="4">
        <v>8.7361106428634327E-3</v>
      </c>
      <c r="C76" s="1" t="s">
        <v>19</v>
      </c>
      <c r="D76" s="4">
        <v>9.1722000080174003E-8</v>
      </c>
      <c r="E76" s="4">
        <v>8.44345970504278E-7</v>
      </c>
      <c r="F76" s="4">
        <v>1.0097331511650118E-8</v>
      </c>
      <c r="G76" s="4">
        <v>9.2950886017045009E-8</v>
      </c>
      <c r="H76" s="4">
        <v>8.1671320666322309E-7</v>
      </c>
      <c r="I76" s="4">
        <v>7.5182453991512626E-6</v>
      </c>
      <c r="J76" s="4">
        <v>8.9908898523942131E-8</v>
      </c>
      <c r="K76" s="4">
        <v>8.2765548194339523E-7</v>
      </c>
      <c r="AC76" s="7"/>
    </row>
    <row r="77" spans="1:29">
      <c r="A77" s="7"/>
      <c r="B77" s="4">
        <v>8.0420180684390524E-2</v>
      </c>
      <c r="C77" s="1" t="s">
        <v>20</v>
      </c>
      <c r="D77" s="4">
        <v>8.4434597050427789E-7</v>
      </c>
      <c r="E77" s="4">
        <v>7.7726185351785723E-6</v>
      </c>
      <c r="F77" s="4">
        <v>9.2950886017045009E-8</v>
      </c>
      <c r="G77" s="4">
        <v>8.5565846792146716E-7</v>
      </c>
      <c r="H77" s="4">
        <v>7.5182453991512618E-6</v>
      </c>
      <c r="I77" s="4">
        <v>6.9209134149788724E-5</v>
      </c>
      <c r="J77" s="4">
        <v>8.2765548194339513E-7</v>
      </c>
      <c r="K77" s="4">
        <v>7.618974406727265E-6</v>
      </c>
      <c r="AC77" s="7"/>
    </row>
    <row r="78" spans="1:29">
      <c r="A78" s="7"/>
      <c r="AC78" s="7"/>
    </row>
    <row r="79" spans="1:29">
      <c r="A79" s="7"/>
      <c r="C79" s="1" t="s">
        <v>31</v>
      </c>
      <c r="D79" s="4">
        <v>2.2749368886371369E-3</v>
      </c>
      <c r="E79" s="4">
        <v>2.4712827297244629E-4</v>
      </c>
      <c r="F79" s="4">
        <v>2.0665040188213701E-2</v>
      </c>
      <c r="G79" s="4">
        <v>2.2448603818978406E-3</v>
      </c>
      <c r="H79" s="4">
        <v>2.0256546953307201E-2</v>
      </c>
      <c r="I79" s="4">
        <v>2.2004854244352411E-3</v>
      </c>
      <c r="J79" s="4">
        <v>0.18400614054630163</v>
      </c>
      <c r="K79" s="4">
        <v>1.9988739009271884E-2</v>
      </c>
      <c r="AC79" s="7"/>
    </row>
    <row r="80" spans="1:29">
      <c r="A80" s="7"/>
      <c r="C80" s="1"/>
      <c r="D80" s="1" t="s">
        <v>13</v>
      </c>
      <c r="E80" s="1" t="s">
        <v>14</v>
      </c>
      <c r="F80" s="1" t="s">
        <v>15</v>
      </c>
      <c r="G80" s="1" t="s">
        <v>16</v>
      </c>
      <c r="H80" s="1" t="s">
        <v>17</v>
      </c>
      <c r="I80" s="1" t="s">
        <v>18</v>
      </c>
      <c r="J80" s="1" t="s">
        <v>19</v>
      </c>
      <c r="K80" s="1" t="s">
        <v>20</v>
      </c>
      <c r="L80" s="1"/>
      <c r="AC80" s="7"/>
    </row>
    <row r="81" spans="1:29">
      <c r="A81" s="7"/>
      <c r="B81" s="4">
        <v>9.0316891645697873E-3</v>
      </c>
      <c r="C81" s="1" t="s">
        <v>13</v>
      </c>
      <c r="D81" s="4">
        <v>2.0546522847184133E-5</v>
      </c>
      <c r="E81" s="4">
        <v>2.2319857452640878E-6</v>
      </c>
      <c r="F81" s="4">
        <v>1.8664021955328887E-4</v>
      </c>
      <c r="G81" s="4">
        <v>2.0274881187158722E-5</v>
      </c>
      <c r="H81" s="4">
        <v>1.8295083562978379E-4</v>
      </c>
      <c r="I81" s="4">
        <v>1.9874100364665516E-5</v>
      </c>
      <c r="J81" s="4">
        <v>1.6618862657863378E-3</v>
      </c>
      <c r="K81" s="4">
        <v>1.805320775234543E-4</v>
      </c>
      <c r="AC81" s="7"/>
    </row>
    <row r="82" spans="1:29">
      <c r="A82" s="7"/>
      <c r="B82" s="4">
        <v>9.8111985278027643E-4</v>
      </c>
      <c r="C82" s="1" t="s">
        <v>14</v>
      </c>
      <c r="D82" s="4">
        <v>2.2319857452640878E-6</v>
      </c>
      <c r="E82" s="4">
        <v>2.4246245479657045E-7</v>
      </c>
      <c r="F82" s="4">
        <v>2.0274881187158722E-5</v>
      </c>
      <c r="G82" s="4">
        <v>2.2024770873998843E-6</v>
      </c>
      <c r="H82" s="4">
        <v>1.9874100364665519E-5</v>
      </c>
      <c r="I82" s="4">
        <v>2.1589399356670481E-6</v>
      </c>
      <c r="J82" s="4">
        <v>1.805320775234543E-4</v>
      </c>
      <c r="K82" s="4">
        <v>1.9611348674040198E-5</v>
      </c>
      <c r="AC82" s="7"/>
    </row>
    <row r="83" spans="1:29">
      <c r="A83" s="7"/>
      <c r="B83" s="4">
        <v>8.2041932892960731E-2</v>
      </c>
      <c r="C83" s="1" t="s">
        <v>15</v>
      </c>
      <c r="D83" s="4">
        <v>1.8664021955328887E-4</v>
      </c>
      <c r="E83" s="4">
        <v>2.0274881187158719E-5</v>
      </c>
      <c r="F83" s="4">
        <v>1.6953998403517649E-3</v>
      </c>
      <c r="G83" s="4">
        <v>1.8417268480572883E-4</v>
      </c>
      <c r="H83" s="4">
        <v>1.6618862657863376E-3</v>
      </c>
      <c r="I83" s="4">
        <v>1.8053207752345428E-4</v>
      </c>
      <c r="J83" s="4">
        <v>1.5096219434592379E-2</v>
      </c>
      <c r="K83" s="4">
        <v>1.6399147844135902E-3</v>
      </c>
      <c r="AC83" s="7"/>
    </row>
    <row r="84" spans="1:29">
      <c r="A84" s="7"/>
      <c r="B84" s="4">
        <v>8.9122829246067303E-3</v>
      </c>
      <c r="C84" s="1" t="s">
        <v>16</v>
      </c>
      <c r="D84" s="4">
        <v>2.0274881187158719E-5</v>
      </c>
      <c r="E84" s="4">
        <v>2.2024770873998839E-6</v>
      </c>
      <c r="F84" s="4">
        <v>1.841726848057288E-4</v>
      </c>
      <c r="G84" s="4">
        <v>2.0006830849714269E-5</v>
      </c>
      <c r="H84" s="4">
        <v>1.8053207752345425E-4</v>
      </c>
      <c r="I84" s="4">
        <v>1.9611348674040194E-5</v>
      </c>
      <c r="J84" s="4">
        <v>1.6399147844135902E-3</v>
      </c>
      <c r="K84" s="4">
        <v>1.7814529735675426E-4</v>
      </c>
      <c r="AC84" s="7"/>
    </row>
    <row r="85" spans="1:29">
      <c r="A85" s="7"/>
      <c r="B85" s="4">
        <v>8.0420180684390524E-2</v>
      </c>
      <c r="C85" s="1" t="s">
        <v>17</v>
      </c>
      <c r="D85" s="4">
        <v>1.8295083562978377E-4</v>
      </c>
      <c r="E85" s="4">
        <v>1.9874100364665516E-5</v>
      </c>
      <c r="F85" s="4">
        <v>1.6618862657863374E-3</v>
      </c>
      <c r="G85" s="4">
        <v>1.8053207752345425E-4</v>
      </c>
      <c r="H85" s="4">
        <v>1.6290351660268054E-3</v>
      </c>
      <c r="I85" s="4">
        <v>1.7696343542644987E-4</v>
      </c>
      <c r="J85" s="4">
        <v>1.4797807069770933E-2</v>
      </c>
      <c r="K85" s="4">
        <v>1.6074980027787702E-3</v>
      </c>
      <c r="AC85" s="7"/>
    </row>
    <row r="86" spans="1:29">
      <c r="A86" s="7"/>
      <c r="B86" s="4">
        <v>8.7361106428634327E-3</v>
      </c>
      <c r="C86" s="1" t="s">
        <v>18</v>
      </c>
      <c r="D86" s="4">
        <v>1.9874100364665516E-5</v>
      </c>
      <c r="E86" s="4">
        <v>2.1589399356670477E-6</v>
      </c>
      <c r="F86" s="4">
        <v>1.8053207752345428E-4</v>
      </c>
      <c r="G86" s="4">
        <v>1.9611348674040194E-5</v>
      </c>
      <c r="H86" s="4">
        <v>1.7696343542644987E-4</v>
      </c>
      <c r="I86" s="4">
        <v>1.9223684135874567E-5</v>
      </c>
      <c r="J86" s="4">
        <v>1.6074980027787702E-3</v>
      </c>
      <c r="K86" s="4">
        <v>1.7462383559631957E-4</v>
      </c>
      <c r="AC86" s="7"/>
    </row>
    <row r="87" spans="1:29">
      <c r="A87" s="7"/>
      <c r="B87" s="4">
        <v>0.73051972302490376</v>
      </c>
      <c r="C87" s="1" t="s">
        <v>19</v>
      </c>
      <c r="D87" s="4">
        <v>1.6618862657863376E-3</v>
      </c>
      <c r="E87" s="4">
        <v>1.8053207752345428E-4</v>
      </c>
      <c r="F87" s="4">
        <v>1.5096219434592377E-2</v>
      </c>
      <c r="G87" s="4">
        <v>1.6399147844135902E-3</v>
      </c>
      <c r="H87" s="4">
        <v>1.4797807069770935E-2</v>
      </c>
      <c r="I87" s="4">
        <v>1.6074980027787702E-3</v>
      </c>
      <c r="J87" s="4">
        <v>0.13442011482676577</v>
      </c>
      <c r="K87" s="4">
        <v>1.4602168084670386E-2</v>
      </c>
      <c r="AC87" s="7"/>
    </row>
    <row r="88" spans="1:29">
      <c r="A88" s="7"/>
      <c r="B88" s="4">
        <v>7.9356960812924759E-2</v>
      </c>
      <c r="C88" s="1" t="s">
        <v>20</v>
      </c>
      <c r="D88" s="4">
        <v>1.8053207752345425E-4</v>
      </c>
      <c r="E88" s="4">
        <v>1.9611348674040194E-5</v>
      </c>
      <c r="F88" s="4">
        <v>1.63991478441359E-3</v>
      </c>
      <c r="G88" s="4">
        <v>1.7814529735675426E-4</v>
      </c>
      <c r="H88" s="4">
        <v>1.60749800277877E-3</v>
      </c>
      <c r="I88" s="4">
        <v>1.7462383559631954E-4</v>
      </c>
      <c r="J88" s="4">
        <v>1.4602168084670384E-2</v>
      </c>
      <c r="K88" s="4">
        <v>1.5862455782585693E-3</v>
      </c>
      <c r="AC88" s="7"/>
    </row>
    <row r="89" spans="1:29">
      <c r="A89" s="7"/>
      <c r="AC89" s="7"/>
    </row>
    <row r="90" spans="1:29">
      <c r="A90" s="7"/>
      <c r="C90" s="1" t="s">
        <v>32</v>
      </c>
      <c r="D90" s="4">
        <v>2.3166470647224436E-4</v>
      </c>
      <c r="E90" s="4">
        <v>2.1325871791600466E-3</v>
      </c>
      <c r="F90" s="4">
        <v>2.104392650781473E-3</v>
      </c>
      <c r="G90" s="4">
        <v>1.9371965869617154E-2</v>
      </c>
      <c r="H90" s="4">
        <v>2.062794369161799E-3</v>
      </c>
      <c r="I90" s="4">
        <v>1.8989033296899896E-2</v>
      </c>
      <c r="J90" s="4">
        <v>1.8737982909181633E-2</v>
      </c>
      <c r="K90" s="4">
        <v>0.17249231755648742</v>
      </c>
      <c r="AC90" s="7"/>
    </row>
    <row r="91" spans="1:29">
      <c r="A91" s="7"/>
      <c r="C91" s="1"/>
      <c r="D91" s="1" t="s">
        <v>13</v>
      </c>
      <c r="E91" s="1" t="s">
        <v>14</v>
      </c>
      <c r="F91" s="1" t="s">
        <v>15</v>
      </c>
      <c r="G91" s="1" t="s">
        <v>16</v>
      </c>
      <c r="H91" s="1" t="s">
        <v>17</v>
      </c>
      <c r="I91" s="1" t="s">
        <v>18</v>
      </c>
      <c r="J91" s="1" t="s">
        <v>19</v>
      </c>
      <c r="K91" s="1" t="s">
        <v>20</v>
      </c>
      <c r="AC91" s="7"/>
    </row>
    <row r="92" spans="1:29">
      <c r="A92" s="7"/>
      <c r="B92" s="4">
        <v>9.8111985278027643E-4</v>
      </c>
      <c r="C92" s="1" t="s">
        <v>13</v>
      </c>
      <c r="D92" s="4">
        <v>2.2729084270843435E-7</v>
      </c>
      <c r="E92" s="4">
        <v>2.0923236192586098E-6</v>
      </c>
      <c r="F92" s="4">
        <v>2.0646614077266147E-6</v>
      </c>
      <c r="G92" s="4">
        <v>1.9006220302063322E-5</v>
      </c>
      <c r="H92" s="4">
        <v>2.0238485077880073E-6</v>
      </c>
      <c r="I92" s="4">
        <v>1.8630517552694193E-5</v>
      </c>
      <c r="J92" s="4">
        <v>1.838420703325562E-5</v>
      </c>
      <c r="K92" s="4">
        <v>1.6923563720674963E-4</v>
      </c>
      <c r="AC92" s="7"/>
    </row>
    <row r="93" spans="1:29">
      <c r="A93" s="7"/>
      <c r="B93" s="4">
        <v>9.0316891645697873E-3</v>
      </c>
      <c r="C93" s="1" t="s">
        <v>14</v>
      </c>
      <c r="D93" s="4">
        <v>2.0923236192586098E-6</v>
      </c>
      <c r="E93" s="4">
        <v>1.926086451852024E-5</v>
      </c>
      <c r="F93" s="4">
        <v>1.9006220302063322E-5</v>
      </c>
      <c r="G93" s="4">
        <v>1.74961574241037E-4</v>
      </c>
      <c r="H93" s="4">
        <v>1.8630517552694189E-5</v>
      </c>
      <c r="I93" s="4">
        <v>1.715030462732657E-4</v>
      </c>
      <c r="J93" s="4">
        <v>1.6923563720674961E-4</v>
      </c>
      <c r="K93" s="4">
        <v>1.5578969954464584E-3</v>
      </c>
      <c r="AC93" s="7"/>
    </row>
    <row r="94" spans="1:29">
      <c r="A94" s="7"/>
      <c r="B94" s="4">
        <v>8.9122829246067303E-3</v>
      </c>
      <c r="C94" s="1" t="s">
        <v>15</v>
      </c>
      <c r="D94" s="4">
        <v>2.0646614077266139E-6</v>
      </c>
      <c r="E94" s="4">
        <v>1.9006220302063319E-5</v>
      </c>
      <c r="F94" s="4">
        <v>1.8754942688227616E-5</v>
      </c>
      <c r="G94" s="4">
        <v>1.7264844063585332E-4</v>
      </c>
      <c r="H94" s="4">
        <v>1.8384207033255613E-5</v>
      </c>
      <c r="I94" s="4">
        <v>1.6923563720674958E-4</v>
      </c>
      <c r="J94" s="4">
        <v>1.6699820512307222E-4</v>
      </c>
      <c r="K94" s="4">
        <v>1.5373003363845245E-3</v>
      </c>
      <c r="AC94" s="7"/>
    </row>
    <row r="95" spans="1:29">
      <c r="A95" s="7"/>
      <c r="B95" s="4">
        <v>8.2041932892960731E-2</v>
      </c>
      <c r="C95" s="1" t="s">
        <v>16</v>
      </c>
      <c r="D95" s="4">
        <v>1.9006220302063319E-5</v>
      </c>
      <c r="E95" s="4">
        <v>1.7496157424103697E-4</v>
      </c>
      <c r="F95" s="4">
        <v>1.7264844063585337E-4</v>
      </c>
      <c r="G95" s="4">
        <v>1.5893135238798561E-3</v>
      </c>
      <c r="H95" s="4">
        <v>1.6923563720674958E-4</v>
      </c>
      <c r="I95" s="4">
        <v>1.5578969954464581E-3</v>
      </c>
      <c r="J95" s="4">
        <v>1.5373003363845245E-3</v>
      </c>
      <c r="K95" s="4">
        <v>1.4151603141520613E-2</v>
      </c>
      <c r="AC95" s="7"/>
    </row>
    <row r="96" spans="1:29">
      <c r="A96" s="7"/>
      <c r="B96" s="4">
        <v>8.7361106428634327E-3</v>
      </c>
      <c r="C96" s="1" t="s">
        <v>17</v>
      </c>
      <c r="D96" s="4">
        <v>2.0238485077880073E-6</v>
      </c>
      <c r="E96" s="4">
        <v>1.8630517552694189E-5</v>
      </c>
      <c r="F96" s="4">
        <v>1.8384207033255616E-5</v>
      </c>
      <c r="G96" s="4">
        <v>1.6923563720674958E-4</v>
      </c>
      <c r="H96" s="4">
        <v>1.8020799842473151E-5</v>
      </c>
      <c r="I96" s="4">
        <v>1.6589029588273528E-4</v>
      </c>
      <c r="J96" s="4">
        <v>1.6369709191869477E-4</v>
      </c>
      <c r="K96" s="4">
        <v>1.5069119712174087E-3</v>
      </c>
      <c r="AC96" s="7"/>
    </row>
    <row r="97" spans="1:29">
      <c r="A97" s="7"/>
      <c r="B97" s="4">
        <v>8.0420180684390524E-2</v>
      </c>
      <c r="C97" s="1" t="s">
        <v>18</v>
      </c>
      <c r="D97" s="4">
        <v>1.8630517552694186E-5</v>
      </c>
      <c r="E97" s="4">
        <v>1.7150304627326567E-4</v>
      </c>
      <c r="F97" s="4">
        <v>1.6923563720674958E-4</v>
      </c>
      <c r="G97" s="4">
        <v>1.5578969954464579E-3</v>
      </c>
      <c r="H97" s="4">
        <v>1.6589029588273525E-4</v>
      </c>
      <c r="I97" s="4">
        <v>1.5271014887585975E-3</v>
      </c>
      <c r="J97" s="4">
        <v>1.5069119712174085E-3</v>
      </c>
      <c r="K97" s="4">
        <v>1.3871863344561986E-2</v>
      </c>
      <c r="AC97" s="7"/>
    </row>
    <row r="98" spans="1:29">
      <c r="A98" s="7"/>
      <c r="B98" s="4">
        <v>7.9356960812924759E-2</v>
      </c>
      <c r="C98" s="1" t="s">
        <v>19</v>
      </c>
      <c r="D98" s="4">
        <v>1.8384207033255613E-5</v>
      </c>
      <c r="E98" s="4">
        <v>1.6923563720674958E-4</v>
      </c>
      <c r="F98" s="4">
        <v>1.6699820512307222E-4</v>
      </c>
      <c r="G98" s="4">
        <v>1.5373003363845243E-3</v>
      </c>
      <c r="H98" s="4">
        <v>1.6369709191869472E-4</v>
      </c>
      <c r="I98" s="4">
        <v>1.5069119712174085E-3</v>
      </c>
      <c r="J98" s="4">
        <v>1.4869893754371807E-3</v>
      </c>
      <c r="K98" s="4">
        <v>1.3688466084860745E-2</v>
      </c>
      <c r="AC98" s="7"/>
    </row>
    <row r="99" spans="1:29">
      <c r="A99" s="7"/>
      <c r="B99" s="4">
        <v>0.73051972302490376</v>
      </c>
      <c r="C99" s="1" t="s">
        <v>20</v>
      </c>
      <c r="D99" s="4">
        <v>1.6923563720674958E-4</v>
      </c>
      <c r="E99" s="4">
        <v>1.5578969954464581E-3</v>
      </c>
      <c r="F99" s="4">
        <v>1.5373003363845247E-3</v>
      </c>
      <c r="G99" s="4">
        <v>1.4151603141520612E-2</v>
      </c>
      <c r="H99" s="4">
        <v>1.5069119712174085E-3</v>
      </c>
      <c r="I99" s="4">
        <v>1.3871863344561986E-2</v>
      </c>
      <c r="J99" s="4">
        <v>1.3688466084860747E-2</v>
      </c>
      <c r="K99" s="4">
        <v>0.12600904004528893</v>
      </c>
      <c r="AC99" s="7"/>
    </row>
    <row r="100" spans="1:29">
      <c r="A100" s="7"/>
      <c r="AC100" s="7"/>
    </row>
    <row r="101" spans="1:29">
      <c r="A101" s="7"/>
      <c r="C101" s="1" t="s">
        <v>33</v>
      </c>
      <c r="AC101" s="7"/>
    </row>
    <row r="102" spans="1:29">
      <c r="A102" s="7"/>
      <c r="C102" s="1"/>
      <c r="D102" s="1" t="s">
        <v>13</v>
      </c>
      <c r="E102" s="1" t="s">
        <v>14</v>
      </c>
      <c r="F102" s="1" t="s">
        <v>15</v>
      </c>
      <c r="G102" s="1" t="s">
        <v>16</v>
      </c>
      <c r="H102" s="1" t="s">
        <v>17</v>
      </c>
      <c r="I102" s="1" t="s">
        <v>18</v>
      </c>
      <c r="J102" s="1" t="s">
        <v>19</v>
      </c>
      <c r="K102" s="1" t="s">
        <v>20</v>
      </c>
      <c r="AC102" s="7"/>
    </row>
    <row r="103" spans="1:29">
      <c r="A103" s="7"/>
      <c r="C103" s="1" t="s">
        <v>13</v>
      </c>
      <c r="D103" s="4">
        <v>0.14030460442992171</v>
      </c>
      <c r="E103" s="4">
        <v>2.9572419938046175E-2</v>
      </c>
      <c r="F103" s="4">
        <v>1.5678300757625167E-2</v>
      </c>
      <c r="G103" s="4">
        <v>3.2993488384900648E-3</v>
      </c>
      <c r="H103" s="4">
        <v>1.5940548742513255E-2</v>
      </c>
      <c r="I103" s="4">
        <v>3.3667597692943652E-3</v>
      </c>
      <c r="J103" s="4">
        <v>3.4199395125683557E-3</v>
      </c>
      <c r="K103" s="4">
        <v>7.1672740354801815E-4</v>
      </c>
      <c r="L103" s="7">
        <v>0.21229864939200713</v>
      </c>
      <c r="AC103" s="7"/>
    </row>
    <row r="104" spans="1:29">
      <c r="A104" s="7"/>
      <c r="C104" s="1" t="s">
        <v>14</v>
      </c>
      <c r="D104" s="4">
        <v>2.9572419938046175E-2</v>
      </c>
      <c r="E104" s="4">
        <v>0.13513649314003726</v>
      </c>
      <c r="F104" s="4">
        <v>3.2993488384900648E-3</v>
      </c>
      <c r="G104" s="4">
        <v>1.50522335457476E-2</v>
      </c>
      <c r="H104" s="4">
        <v>3.3667597692943652E-3</v>
      </c>
      <c r="I104" s="4">
        <v>1.5417859127102933E-2</v>
      </c>
      <c r="J104" s="4">
        <v>7.1672740354801815E-4</v>
      </c>
      <c r="K104" s="4">
        <v>3.2557462481951284E-3</v>
      </c>
      <c r="L104" s="7">
        <v>0.2058175880104616</v>
      </c>
      <c r="T104" s="6"/>
      <c r="AC104" s="7"/>
    </row>
    <row r="105" spans="1:29">
      <c r="A105" s="7"/>
      <c r="C105" s="1" t="s">
        <v>15</v>
      </c>
      <c r="D105" s="4">
        <v>1.5678300757625167E-2</v>
      </c>
      <c r="E105" s="4">
        <v>3.2993488384900648E-3</v>
      </c>
      <c r="F105" s="4">
        <v>3.839692177621412E-3</v>
      </c>
      <c r="G105" s="4">
        <v>7.6137228467059825E-4</v>
      </c>
      <c r="H105" s="4">
        <v>3.4199395125683553E-3</v>
      </c>
      <c r="I105" s="4">
        <v>7.1672740354801815E-4</v>
      </c>
      <c r="J105" s="4">
        <v>1.5501938750256345E-2</v>
      </c>
      <c r="K105" s="4">
        <v>3.2227405241946291E-3</v>
      </c>
      <c r="L105" s="7">
        <v>4.6440060248974589E-2</v>
      </c>
      <c r="AC105" s="7"/>
    </row>
    <row r="106" spans="1:29">
      <c r="A106" s="7"/>
      <c r="C106" s="1" t="s">
        <v>16</v>
      </c>
      <c r="D106" s="4">
        <v>3.2993488384900648E-3</v>
      </c>
      <c r="E106" s="4">
        <v>1.50522335457476E-2</v>
      </c>
      <c r="F106" s="4">
        <v>7.6137228467059825E-4</v>
      </c>
      <c r="G106" s="4">
        <v>3.2518214079547162E-3</v>
      </c>
      <c r="H106" s="4">
        <v>7.1672740354801815E-4</v>
      </c>
      <c r="I106" s="4">
        <v>3.255746248195128E-3</v>
      </c>
      <c r="J106" s="4">
        <v>3.2227405241946291E-3</v>
      </c>
      <c r="K106" s="4">
        <v>1.4515056444151863E-2</v>
      </c>
      <c r="L106" s="7">
        <v>4.407504669695262E-2</v>
      </c>
      <c r="AC106" s="7"/>
    </row>
    <row r="107" spans="1:29">
      <c r="A107" s="7"/>
      <c r="C107" s="1" t="s">
        <v>17</v>
      </c>
      <c r="D107" s="4">
        <v>1.5940548742513255E-2</v>
      </c>
      <c r="E107" s="4">
        <v>3.3667597692943652E-3</v>
      </c>
      <c r="F107" s="4">
        <v>3.4199395125683553E-3</v>
      </c>
      <c r="G107" s="4">
        <v>7.1672740354801804E-4</v>
      </c>
      <c r="H107" s="4">
        <v>3.4238307299141691E-3</v>
      </c>
      <c r="I107" s="4">
        <v>7.8407035699718398E-4</v>
      </c>
      <c r="J107" s="4">
        <v>1.5157686285393207E-2</v>
      </c>
      <c r="K107" s="4">
        <v>3.1630452617451071E-3</v>
      </c>
      <c r="L107" s="7">
        <v>4.597260806197366E-2</v>
      </c>
      <c r="AC107" s="7"/>
    </row>
    <row r="108" spans="1:29">
      <c r="A108" s="7"/>
      <c r="C108" s="1" t="s">
        <v>18</v>
      </c>
      <c r="D108" s="4">
        <v>3.3667597692943652E-3</v>
      </c>
      <c r="E108" s="4">
        <v>1.5417859127102933E-2</v>
      </c>
      <c r="F108" s="4">
        <v>7.1672740354801815E-4</v>
      </c>
      <c r="G108" s="4">
        <v>3.255746248195128E-3</v>
      </c>
      <c r="H108" s="4">
        <v>7.8407035699718387E-4</v>
      </c>
      <c r="I108" s="4">
        <v>3.8790954477817396E-3</v>
      </c>
      <c r="J108" s="4">
        <v>3.1630452617451071E-3</v>
      </c>
      <c r="K108" s="4">
        <v>1.4303300011424944E-2</v>
      </c>
      <c r="L108" s="7">
        <v>4.4886603626089421E-2</v>
      </c>
      <c r="AC108" s="7"/>
    </row>
    <row r="109" spans="1:29">
      <c r="A109" s="7"/>
      <c r="C109" s="1" t="s">
        <v>19</v>
      </c>
      <c r="D109" s="4">
        <v>3.4199395125683557E-3</v>
      </c>
      <c r="E109" s="4">
        <v>7.1672740354801825E-4</v>
      </c>
      <c r="F109" s="4">
        <v>1.5501938750256343E-2</v>
      </c>
      <c r="G109" s="4">
        <v>3.2227405241946287E-3</v>
      </c>
      <c r="H109" s="4">
        <v>1.5157686285393209E-2</v>
      </c>
      <c r="I109" s="4">
        <v>3.1630452617451071E-3</v>
      </c>
      <c r="J109" s="4">
        <v>0.13593400285056362</v>
      </c>
      <c r="K109" s="4">
        <v>2.8296564173522699E-2</v>
      </c>
      <c r="L109" s="7">
        <v>0.20541264476179197</v>
      </c>
      <c r="AC109" s="7"/>
    </row>
    <row r="110" spans="1:29">
      <c r="A110" s="7"/>
      <c r="C110" s="1" t="s">
        <v>20</v>
      </c>
      <c r="D110" s="4">
        <v>7.1672740354801825E-4</v>
      </c>
      <c r="E110" s="4">
        <v>3.2557462481951288E-3</v>
      </c>
      <c r="F110" s="4">
        <v>3.2227405241946291E-3</v>
      </c>
      <c r="G110" s="4">
        <v>1.4515056444151861E-2</v>
      </c>
      <c r="H110" s="4">
        <v>3.1630452617451067E-3</v>
      </c>
      <c r="I110" s="4">
        <v>1.4303300011424944E-2</v>
      </c>
      <c r="J110" s="4">
        <v>2.8296564173522699E-2</v>
      </c>
      <c r="K110" s="4">
        <v>0.12762361974989564</v>
      </c>
      <c r="L110" s="7">
        <v>0.19509679981667802</v>
      </c>
      <c r="AC110" s="7"/>
    </row>
    <row r="111" spans="1:29">
      <c r="A111" s="7"/>
      <c r="D111" s="3">
        <v>0.21229864939200713</v>
      </c>
      <c r="E111" s="3">
        <v>0.2058175880104616</v>
      </c>
      <c r="F111" s="3">
        <v>4.6440060248974589E-2</v>
      </c>
      <c r="G111" s="3">
        <v>4.4075046696952613E-2</v>
      </c>
      <c r="H111" s="3">
        <v>4.5972608061973667E-2</v>
      </c>
      <c r="I111" s="3">
        <v>4.4886603626089421E-2</v>
      </c>
      <c r="J111" s="3">
        <v>0.20541264476179197</v>
      </c>
      <c r="K111" s="3">
        <v>0.19509679981667802</v>
      </c>
      <c r="L111" s="7">
        <v>1.000000000614929</v>
      </c>
      <c r="AC111" s="7"/>
    </row>
    <row r="112" spans="1:29">
      <c r="A112" s="7"/>
      <c r="L112" s="7"/>
      <c r="M112" s="7"/>
      <c r="N112" s="7"/>
      <c r="O112" s="7"/>
      <c r="P112" s="7"/>
      <c r="Q112" s="7"/>
      <c r="R112" s="7"/>
      <c r="S112" s="7"/>
      <c r="T112" s="7"/>
      <c r="U112" s="7"/>
      <c r="V112" s="7"/>
      <c r="W112" s="7"/>
      <c r="X112" s="7"/>
      <c r="Y112" s="7"/>
      <c r="Z112" s="7"/>
      <c r="AA112" s="7"/>
      <c r="AB112" s="7"/>
      <c r="AC112" s="7"/>
    </row>
    <row r="113" spans="1:29">
      <c r="A113" s="7"/>
      <c r="C113" s="1" t="s">
        <v>34</v>
      </c>
      <c r="N113" t="s">
        <v>36</v>
      </c>
      <c r="O113" s="8">
        <v>0.49136865626653309</v>
      </c>
      <c r="W113" t="s">
        <v>54</v>
      </c>
      <c r="Y113" t="s">
        <v>60</v>
      </c>
      <c r="AC113" s="7"/>
    </row>
    <row r="114" spans="1:29">
      <c r="A114" s="7"/>
      <c r="C114" s="1"/>
      <c r="D114" s="1" t="s">
        <v>13</v>
      </c>
      <c r="E114" s="1" t="s">
        <v>14</v>
      </c>
      <c r="F114" s="1" t="s">
        <v>15</v>
      </c>
      <c r="G114" s="1" t="s">
        <v>16</v>
      </c>
      <c r="H114" s="1" t="s">
        <v>17</v>
      </c>
      <c r="I114" s="1" t="s">
        <v>18</v>
      </c>
      <c r="J114" s="1" t="s">
        <v>19</v>
      </c>
      <c r="K114" s="1" t="s">
        <v>20</v>
      </c>
      <c r="N114" t="s">
        <v>37</v>
      </c>
      <c r="O114" s="8">
        <v>0.49102455152439722</v>
      </c>
      <c r="R114" t="s">
        <v>58</v>
      </c>
      <c r="W114" s="1" t="s">
        <v>45</v>
      </c>
      <c r="X114" s="7" t="s">
        <v>47</v>
      </c>
      <c r="Y114" s="7" t="s">
        <v>48</v>
      </c>
      <c r="Z114" s="7" t="s">
        <v>49</v>
      </c>
      <c r="AA114" s="7" t="s">
        <v>50</v>
      </c>
      <c r="AB114" s="7"/>
      <c r="AC114" s="7"/>
    </row>
    <row r="115" spans="1:29">
      <c r="A115" s="7"/>
      <c r="C115" s="1" t="s">
        <v>13</v>
      </c>
      <c r="D115" s="5">
        <v>1403.0460442992171</v>
      </c>
      <c r="E115" s="5">
        <v>295.72419938046176</v>
      </c>
      <c r="F115" s="5">
        <v>156.78300757625166</v>
      </c>
      <c r="G115" s="5">
        <v>32.993488384900651</v>
      </c>
      <c r="H115" s="5">
        <v>159.40548742513255</v>
      </c>
      <c r="I115" s="5">
        <v>33.667597692943652</v>
      </c>
      <c r="J115" s="5">
        <v>34.199395125683559</v>
      </c>
      <c r="K115" s="5">
        <v>7.1672740354801814</v>
      </c>
      <c r="L115" s="12">
        <v>2122.9864939200716</v>
      </c>
      <c r="N115" t="s">
        <v>38</v>
      </c>
      <c r="O115" s="8">
        <v>0.48987603815018166</v>
      </c>
      <c r="W115" s="1" t="s">
        <v>13</v>
      </c>
      <c r="X115" s="5">
        <v>2122.9864939200716</v>
      </c>
      <c r="Y115" s="5">
        <v>1403.0460442992171</v>
      </c>
      <c r="Z115" s="5">
        <v>719.94044962085445</v>
      </c>
      <c r="AA115" s="8">
        <v>6.2192216126065285E-3</v>
      </c>
      <c r="AB115" s="8">
        <v>0.16625463671264618</v>
      </c>
      <c r="AC115" s="7"/>
    </row>
    <row r="116" spans="1:29">
      <c r="A116" s="7"/>
      <c r="C116" s="1" t="s">
        <v>14</v>
      </c>
      <c r="D116" s="5">
        <v>295.72419938046176</v>
      </c>
      <c r="E116" s="5">
        <v>1351.3649314003726</v>
      </c>
      <c r="F116" s="5">
        <v>32.993488384900651</v>
      </c>
      <c r="G116" s="5">
        <v>150.522335457476</v>
      </c>
      <c r="H116" s="5">
        <v>33.667597692943652</v>
      </c>
      <c r="I116" s="5">
        <v>154.17859127102932</v>
      </c>
      <c r="J116" s="5">
        <v>7.1672740354801814</v>
      </c>
      <c r="K116" s="5">
        <v>32.557462481951283</v>
      </c>
      <c r="L116" s="12">
        <v>2058.1758801046153</v>
      </c>
      <c r="M116" s="10" t="s">
        <v>39</v>
      </c>
      <c r="N116" s="10">
        <v>1</v>
      </c>
      <c r="O116" s="10">
        <v>2</v>
      </c>
      <c r="P116" s="10" t="s">
        <v>39</v>
      </c>
      <c r="Q116" s="10">
        <v>1</v>
      </c>
      <c r="R116" s="10">
        <v>2</v>
      </c>
      <c r="S116" s="10" t="s">
        <v>11</v>
      </c>
      <c r="T116" s="10" t="s">
        <v>42</v>
      </c>
      <c r="U116" s="10" t="s">
        <v>43</v>
      </c>
      <c r="V116" s="10"/>
      <c r="W116" s="1" t="s">
        <v>14</v>
      </c>
      <c r="X116" s="5">
        <v>2058.1758801046153</v>
      </c>
      <c r="Y116" s="5">
        <v>1351.3649314003726</v>
      </c>
      <c r="Z116" s="5">
        <v>706.81094870424272</v>
      </c>
      <c r="AA116" s="8">
        <v>0.31509331507521121</v>
      </c>
      <c r="AB116" s="8">
        <v>0.2321984499583814</v>
      </c>
      <c r="AC116" s="7"/>
    </row>
    <row r="117" spans="1:29">
      <c r="A117" s="7"/>
      <c r="C117" s="1" t="s">
        <v>15</v>
      </c>
      <c r="D117" s="5">
        <v>156.78300757625166</v>
      </c>
      <c r="E117" s="5">
        <v>32.993488384900651</v>
      </c>
      <c r="F117" s="5">
        <v>38.396921776214121</v>
      </c>
      <c r="G117" s="5">
        <v>7.6137228467059828</v>
      </c>
      <c r="H117" s="5">
        <v>34.199395125683552</v>
      </c>
      <c r="I117" s="5">
        <v>7.1672740354801814</v>
      </c>
      <c r="J117" s="5">
        <v>155.01938750256346</v>
      </c>
      <c r="K117" s="5">
        <v>32.227405241946293</v>
      </c>
      <c r="L117" s="12">
        <v>464.40060248974595</v>
      </c>
      <c r="M117" s="10">
        <v>1</v>
      </c>
      <c r="N117" s="5">
        <v>4178.5865956167436</v>
      </c>
      <c r="O117" s="5">
        <v>907.72684786721436</v>
      </c>
      <c r="P117" s="10">
        <v>1</v>
      </c>
      <c r="Q117">
        <v>5.6854878855687165E-2</v>
      </c>
      <c r="R117">
        <v>0.34618468765763627</v>
      </c>
      <c r="S117" s="23">
        <v>0.83447380184323705</v>
      </c>
      <c r="T117">
        <v>0.63901793554729247</v>
      </c>
      <c r="U117" s="23">
        <v>0.36098206445270753</v>
      </c>
      <c r="W117" s="1" t="s">
        <v>15</v>
      </c>
      <c r="X117" s="5">
        <v>464.40060248974595</v>
      </c>
      <c r="Y117" s="5">
        <v>38.396921776214121</v>
      </c>
      <c r="Z117" s="5">
        <v>426.00368071353182</v>
      </c>
      <c r="AA117" s="8">
        <v>6.6928797223751627E-2</v>
      </c>
      <c r="AB117" s="8">
        <v>0.39693486172761189</v>
      </c>
      <c r="AC117" s="7"/>
    </row>
    <row r="118" spans="1:29">
      <c r="A118" s="7"/>
      <c r="C118" s="1" t="s">
        <v>16</v>
      </c>
      <c r="D118" s="5">
        <v>32.993488384900651</v>
      </c>
      <c r="E118" s="5">
        <v>150.522335457476</v>
      </c>
      <c r="F118" s="5">
        <v>7.6137228467059828</v>
      </c>
      <c r="G118" s="5">
        <v>32.518214079547164</v>
      </c>
      <c r="H118" s="5">
        <v>7.1672740354801814</v>
      </c>
      <c r="I118" s="5">
        <v>32.557462481951276</v>
      </c>
      <c r="J118" s="5">
        <v>32.227405241946293</v>
      </c>
      <c r="K118" s="5">
        <v>145.15056444151864</v>
      </c>
      <c r="L118" s="12">
        <v>440.7504669695262</v>
      </c>
      <c r="M118" s="10">
        <v>2</v>
      </c>
      <c r="N118" s="5">
        <v>907.72684786721425</v>
      </c>
      <c r="O118" s="5">
        <v>4005.9597147981167</v>
      </c>
      <c r="P118" s="10">
        <v>2</v>
      </c>
      <c r="Q118">
        <v>0.36785084593727679</v>
      </c>
      <c r="R118">
        <v>6.3583389392636816E-2</v>
      </c>
      <c r="W118" s="1" t="s">
        <v>16</v>
      </c>
      <c r="X118" s="5">
        <v>440.7504669695262</v>
      </c>
      <c r="Y118" s="5">
        <v>32.518214079547164</v>
      </c>
      <c r="Z118" s="5">
        <v>408.23225288997901</v>
      </c>
      <c r="AA118" s="8">
        <v>0.93641940339106711</v>
      </c>
      <c r="AB118" s="8">
        <v>0.5342212751727603</v>
      </c>
      <c r="AC118" s="7"/>
    </row>
    <row r="119" spans="1:29">
      <c r="A119" s="7"/>
      <c r="C119" s="1" t="s">
        <v>17</v>
      </c>
      <c r="D119" s="5">
        <v>159.40548742513255</v>
      </c>
      <c r="E119" s="5">
        <v>33.667597692943652</v>
      </c>
      <c r="F119" s="5">
        <v>34.199395125683552</v>
      </c>
      <c r="G119" s="5">
        <v>7.1672740354801805</v>
      </c>
      <c r="H119" s="5">
        <v>34.238307299141688</v>
      </c>
      <c r="I119" s="5">
        <v>7.8407035699718399</v>
      </c>
      <c r="J119" s="5">
        <v>151.57686285393208</v>
      </c>
      <c r="K119" s="5">
        <v>31.63045261745107</v>
      </c>
      <c r="L119" s="12">
        <v>459.72608061973654</v>
      </c>
      <c r="M119" s="10" t="s">
        <v>40</v>
      </c>
      <c r="N119" s="10">
        <v>1</v>
      </c>
      <c r="O119" s="10">
        <v>2</v>
      </c>
      <c r="P119" s="10" t="s">
        <v>40</v>
      </c>
      <c r="Q119" s="10">
        <v>1</v>
      </c>
      <c r="R119" s="10">
        <v>2</v>
      </c>
      <c r="S119" s="10" t="s">
        <v>11</v>
      </c>
      <c r="T119" s="10" t="s">
        <v>42</v>
      </c>
      <c r="U119" s="10" t="s">
        <v>43</v>
      </c>
      <c r="W119" s="1" t="s">
        <v>17</v>
      </c>
      <c r="X119" s="5">
        <v>459.72608061973654</v>
      </c>
      <c r="Y119" s="5">
        <v>34.238307299141688</v>
      </c>
      <c r="Z119" s="5">
        <v>425.48777332059484</v>
      </c>
      <c r="AA119" s="8">
        <v>3.0615688864468411</v>
      </c>
      <c r="AB119" s="8">
        <v>0.98886846985912025</v>
      </c>
      <c r="AC119" s="7"/>
    </row>
    <row r="120" spans="1:29">
      <c r="A120" s="7"/>
      <c r="C120" s="1" t="s">
        <v>18</v>
      </c>
      <c r="D120" s="5">
        <v>33.667597692943652</v>
      </c>
      <c r="E120" s="5">
        <v>154.17859127102932</v>
      </c>
      <c r="F120" s="5">
        <v>7.1672740354801814</v>
      </c>
      <c r="G120" s="5">
        <v>32.557462481951276</v>
      </c>
      <c r="H120" s="5">
        <v>7.840703569971839</v>
      </c>
      <c r="I120" s="5">
        <v>38.790954477817394</v>
      </c>
      <c r="J120" s="5">
        <v>31.63045261745107</v>
      </c>
      <c r="K120" s="5">
        <v>143.03300011424943</v>
      </c>
      <c r="L120" s="12">
        <v>448.86603626089413</v>
      </c>
      <c r="M120" s="10">
        <v>1</v>
      </c>
      <c r="N120" s="5">
        <v>4196.4085915415144</v>
      </c>
      <c r="O120" s="5">
        <v>893.34589936380303</v>
      </c>
      <c r="P120" s="10">
        <v>1</v>
      </c>
      <c r="Q120">
        <v>5.6578068630350684E-2</v>
      </c>
      <c r="R120">
        <v>0.91908126947694102</v>
      </c>
      <c r="S120" s="23">
        <v>1.6698207274068946</v>
      </c>
      <c r="T120">
        <v>0.80371745173377973</v>
      </c>
      <c r="U120" s="23">
        <v>0.19628254826622027</v>
      </c>
      <c r="W120" s="1" t="s">
        <v>18</v>
      </c>
      <c r="X120" s="5">
        <v>448.86603626089413</v>
      </c>
      <c r="Y120" s="5">
        <v>38.790954477817394</v>
      </c>
      <c r="Z120" s="5">
        <v>410.07508178307671</v>
      </c>
      <c r="AA120" s="8">
        <v>3.7683813001965084E-2</v>
      </c>
      <c r="AB120" s="8">
        <v>9.0356871374183672E-3</v>
      </c>
      <c r="AC120" s="7"/>
    </row>
    <row r="121" spans="1:29">
      <c r="A121" s="7"/>
      <c r="C121" s="1" t="s">
        <v>19</v>
      </c>
      <c r="D121" s="5">
        <v>34.199395125683559</v>
      </c>
      <c r="E121" s="5">
        <v>7.1672740354801823</v>
      </c>
      <c r="F121" s="5">
        <v>155.01938750256343</v>
      </c>
      <c r="G121" s="5">
        <v>32.227405241946286</v>
      </c>
      <c r="H121" s="5">
        <v>151.57686285393208</v>
      </c>
      <c r="I121" s="5">
        <v>31.63045261745107</v>
      </c>
      <c r="J121" s="5">
        <v>1359.3400285056362</v>
      </c>
      <c r="K121" s="5">
        <v>282.965641735227</v>
      </c>
      <c r="L121" s="12">
        <v>2054.1264476179199</v>
      </c>
      <c r="M121" s="10">
        <v>2</v>
      </c>
      <c r="N121" s="5">
        <v>893.34589936380303</v>
      </c>
      <c r="O121" s="5">
        <v>4016.8996158801692</v>
      </c>
      <c r="P121" s="10">
        <v>2</v>
      </c>
      <c r="Q121">
        <v>0.66348635646565646</v>
      </c>
      <c r="R121">
        <v>3.067503283394651E-2</v>
      </c>
      <c r="W121" s="1" t="s">
        <v>19</v>
      </c>
      <c r="X121" s="5">
        <v>2054.1264476179199</v>
      </c>
      <c r="Y121" s="5">
        <v>1359.3400285056362</v>
      </c>
      <c r="Z121" s="5">
        <v>694.78641911228374</v>
      </c>
      <c r="AA121" s="8">
        <v>0.30435119317784143</v>
      </c>
      <c r="AB121" s="8">
        <v>0.12218153728875834</v>
      </c>
      <c r="AC121" s="7"/>
    </row>
    <row r="122" spans="1:29">
      <c r="A122" s="7"/>
      <c r="C122" s="1" t="s">
        <v>20</v>
      </c>
      <c r="D122" s="5">
        <v>7.1672740354801823</v>
      </c>
      <c r="E122" s="5">
        <v>32.557462481951291</v>
      </c>
      <c r="F122" s="5">
        <v>32.227405241946293</v>
      </c>
      <c r="G122" s="5">
        <v>145.15056444151861</v>
      </c>
      <c r="H122" s="5">
        <v>31.630452617451066</v>
      </c>
      <c r="I122" s="5">
        <v>143.03300011424943</v>
      </c>
      <c r="J122" s="5">
        <v>282.965641735227</v>
      </c>
      <c r="K122" s="5">
        <v>1276.2361974989565</v>
      </c>
      <c r="L122" s="12">
        <v>1950.9679981667803</v>
      </c>
      <c r="M122" s="10" t="s">
        <v>41</v>
      </c>
      <c r="N122" s="10">
        <v>1</v>
      </c>
      <c r="O122" s="10">
        <v>2</v>
      </c>
      <c r="P122" s="10" t="s">
        <v>41</v>
      </c>
      <c r="Q122" s="10">
        <v>1</v>
      </c>
      <c r="R122" s="10">
        <v>2</v>
      </c>
      <c r="S122" s="10" t="s">
        <v>11</v>
      </c>
      <c r="T122" s="10" t="s">
        <v>42</v>
      </c>
      <c r="U122" s="10" t="s">
        <v>43</v>
      </c>
      <c r="W122" s="1" t="s">
        <v>20</v>
      </c>
      <c r="X122" s="5">
        <v>1950.9679981667803</v>
      </c>
      <c r="Y122" s="5">
        <v>1276.2361974989565</v>
      </c>
      <c r="Z122" s="5">
        <v>674.73180066782379</v>
      </c>
      <c r="AA122" s="8">
        <v>0.22019832601889749</v>
      </c>
      <c r="AB122" s="8">
        <v>0.41491026999276115</v>
      </c>
      <c r="AC122" s="7"/>
    </row>
    <row r="123" spans="1:29">
      <c r="A123" s="7"/>
      <c r="D123" s="12">
        <v>2122.9864939200716</v>
      </c>
      <c r="E123" s="12">
        <v>2058.1758801046153</v>
      </c>
      <c r="F123" s="12">
        <v>464.40060248974595</v>
      </c>
      <c r="G123" s="12">
        <v>440.75046696952614</v>
      </c>
      <c r="H123" s="12">
        <v>459.72608061973654</v>
      </c>
      <c r="I123" s="12">
        <v>448.86603626089413</v>
      </c>
      <c r="J123" s="12">
        <v>2054.1264476179199</v>
      </c>
      <c r="K123" s="12">
        <v>1950.9679981667805</v>
      </c>
      <c r="L123" s="1">
        <v>10000.00000614929</v>
      </c>
      <c r="M123" s="10">
        <v>1</v>
      </c>
      <c r="N123" s="5">
        <v>4217.3883730987036</v>
      </c>
      <c r="O123" s="5">
        <v>883.85125154877073</v>
      </c>
      <c r="P123" s="10">
        <v>1</v>
      </c>
      <c r="Q123">
        <v>1.6172556255623339E-3</v>
      </c>
      <c r="R123">
        <v>0.5908004275947818</v>
      </c>
      <c r="S123" s="23">
        <v>0.89163794802678975</v>
      </c>
      <c r="T123">
        <v>0.65496617476851648</v>
      </c>
      <c r="U123" s="23">
        <v>0.34503382523148352</v>
      </c>
      <c r="W123" s="1" t="s">
        <v>59</v>
      </c>
      <c r="X123" s="7">
        <v>10000.00000614929</v>
      </c>
      <c r="Y123" s="7">
        <v>5533.9315993369019</v>
      </c>
      <c r="Z123" s="7">
        <v>4466.0684068123865</v>
      </c>
      <c r="AA123" s="7">
        <v>4.9484629559481803</v>
      </c>
      <c r="AB123" s="7">
        <v>2.8646051878494578</v>
      </c>
      <c r="AC123" s="11">
        <v>7.8130681437976381</v>
      </c>
    </row>
    <row r="124" spans="1:29">
      <c r="A124" s="7"/>
      <c r="M124" s="10">
        <v>2</v>
      </c>
      <c r="N124" s="5">
        <v>883.85125154877073</v>
      </c>
      <c r="O124" s="5">
        <v>4014.9091299530455</v>
      </c>
      <c r="P124" s="10">
        <v>2</v>
      </c>
      <c r="Q124">
        <v>0.29505199668395754</v>
      </c>
      <c r="R124">
        <v>4.168268122488006E-3</v>
      </c>
      <c r="AC124" s="7" t="s">
        <v>51</v>
      </c>
    </row>
    <row r="125" spans="1:29">
      <c r="A125" s="7"/>
      <c r="C125" s="1" t="s">
        <v>35</v>
      </c>
      <c r="L125" s="7"/>
      <c r="M125" s="7"/>
      <c r="N125" s="7"/>
      <c r="O125" s="7"/>
      <c r="P125" s="7"/>
      <c r="Q125" s="7"/>
      <c r="R125" s="7"/>
      <c r="S125" s="7"/>
      <c r="T125" s="7"/>
      <c r="U125" s="7"/>
      <c r="V125" s="7"/>
      <c r="W125" s="7"/>
      <c r="X125" s="7"/>
      <c r="Y125" s="7"/>
      <c r="Z125" s="7"/>
      <c r="AA125" s="7"/>
      <c r="AB125" s="7"/>
      <c r="AC125" s="7"/>
    </row>
    <row r="126" spans="1:29">
      <c r="A126" s="7"/>
      <c r="C126" s="1"/>
      <c r="D126" s="1" t="s">
        <v>13</v>
      </c>
      <c r="E126" s="1" t="s">
        <v>14</v>
      </c>
      <c r="F126" s="1" t="s">
        <v>15</v>
      </c>
      <c r="G126" s="1" t="s">
        <v>16</v>
      </c>
      <c r="H126" s="1" t="s">
        <v>17</v>
      </c>
      <c r="I126" s="1" t="s">
        <v>18</v>
      </c>
      <c r="J126" s="1" t="s">
        <v>19</v>
      </c>
      <c r="K126" s="1" t="s">
        <v>20</v>
      </c>
      <c r="AC126" s="7"/>
    </row>
    <row r="127" spans="1:29">
      <c r="A127" s="7"/>
      <c r="C127" s="1" t="s">
        <v>13</v>
      </c>
      <c r="D127" s="8">
        <v>2.9570631315716671</v>
      </c>
      <c r="E127" s="8">
        <v>-5.6684380596257435</v>
      </c>
      <c r="F127" s="8">
        <v>6.3386574164095331</v>
      </c>
      <c r="G127" s="8">
        <v>2.0663244407082466</v>
      </c>
      <c r="H127" s="8">
        <v>-23.263926436259972</v>
      </c>
      <c r="I127" s="8">
        <v>0.33403784770409728</v>
      </c>
      <c r="J127" s="8">
        <v>9.8466628010920161</v>
      </c>
      <c r="K127" s="8">
        <v>3.33059700982774</v>
      </c>
      <c r="L127" s="13">
        <v>-4.0590218485724154</v>
      </c>
      <c r="AC127" s="7"/>
    </row>
    <row r="128" spans="1:29">
      <c r="A128" s="7"/>
      <c r="C128" s="1" t="s">
        <v>14</v>
      </c>
      <c r="D128" s="8">
        <v>2.2845351656967576</v>
      </c>
      <c r="E128" s="8">
        <v>20.791819422233292</v>
      </c>
      <c r="F128" s="8">
        <v>-6.1935557399258121</v>
      </c>
      <c r="G128" s="8">
        <v>4.5436134848957872</v>
      </c>
      <c r="H128" s="8">
        <v>-1.6255993355808849</v>
      </c>
      <c r="I128" s="8">
        <v>-8.8997913903502308</v>
      </c>
      <c r="J128" s="8">
        <v>2.0492926679245289</v>
      </c>
      <c r="K128" s="8">
        <v>-3.3556124607865168</v>
      </c>
      <c r="L128" s="13">
        <v>9.5947018141069194</v>
      </c>
      <c r="AC128" s="7"/>
    </row>
    <row r="129" spans="1:29">
      <c r="A129" s="7"/>
      <c r="C129" s="1" t="s">
        <v>15</v>
      </c>
      <c r="D129" s="8">
        <v>-0.78104906020391929</v>
      </c>
      <c r="E129" s="8">
        <v>-2.85338515992497</v>
      </c>
      <c r="F129" s="8">
        <v>1.6360863924465376</v>
      </c>
      <c r="G129" s="8">
        <v>-2.1025717218926512</v>
      </c>
      <c r="H129" s="8">
        <v>0.80990363862736936</v>
      </c>
      <c r="I129" s="8">
        <v>-1.8004373978858565</v>
      </c>
      <c r="J129" s="8">
        <v>-5.9009786882194737</v>
      </c>
      <c r="K129" s="8">
        <v>0.78178242190176361</v>
      </c>
      <c r="L129" s="13">
        <v>-10.210649575151201</v>
      </c>
      <c r="AC129" s="7"/>
    </row>
    <row r="130" spans="1:29">
      <c r="A130" s="7"/>
      <c r="C130" s="1" t="s">
        <v>16</v>
      </c>
      <c r="D130" s="8">
        <v>6.5122576252514336E-3</v>
      </c>
      <c r="E130" s="8">
        <v>1.4848939756450439</v>
      </c>
      <c r="F130" s="8">
        <v>-1.4291567255074544</v>
      </c>
      <c r="G130" s="8">
        <v>-5.0210144882321366</v>
      </c>
      <c r="H130" s="8">
        <v>-1.0665955366993005</v>
      </c>
      <c r="I130" s="8">
        <v>-0.55266245429206784</v>
      </c>
      <c r="J130" s="8">
        <v>6.2612210378845052</v>
      </c>
      <c r="K130" s="8">
        <v>11.245170785019624</v>
      </c>
      <c r="L130" s="13">
        <v>10.928368851443466</v>
      </c>
      <c r="AC130" s="7"/>
    </row>
    <row r="131" spans="1:29">
      <c r="A131" s="7"/>
      <c r="C131" s="1" t="s">
        <v>17</v>
      </c>
      <c r="D131" s="8">
        <v>17.429773463848679</v>
      </c>
      <c r="E131" s="8">
        <v>2.4113900311013072</v>
      </c>
      <c r="F131" s="8">
        <v>6.2668598634121873</v>
      </c>
      <c r="G131" s="8">
        <v>-2.6127393100294856</v>
      </c>
      <c r="H131" s="8">
        <v>-8.5269908003216521</v>
      </c>
      <c r="I131" s="8">
        <v>-2.2494532948478203</v>
      </c>
      <c r="J131" s="8">
        <v>8.6529557392231311</v>
      </c>
      <c r="K131" s="8">
        <v>-5.0966190325841358</v>
      </c>
      <c r="L131" s="13">
        <v>16.275176659802213</v>
      </c>
      <c r="AC131" s="7"/>
    </row>
    <row r="132" spans="1:29">
      <c r="A132" s="7"/>
      <c r="C132" s="1" t="s">
        <v>18</v>
      </c>
      <c r="D132" s="8">
        <v>-3.4601550112342139</v>
      </c>
      <c r="E132" s="8">
        <v>-5.0906309117727497</v>
      </c>
      <c r="F132" s="8">
        <v>3.33059700982774</v>
      </c>
      <c r="G132" s="8">
        <v>15.899200431666101</v>
      </c>
      <c r="H132" s="8">
        <v>2.4325652159038138</v>
      </c>
      <c r="I132" s="8">
        <v>1.2276946671686735</v>
      </c>
      <c r="J132" s="8">
        <v>-2.5179109924359988</v>
      </c>
      <c r="K132" s="8">
        <v>-4.9433930142573743</v>
      </c>
      <c r="L132" s="13">
        <v>6.8779673948659923</v>
      </c>
      <c r="AC132" s="7"/>
    </row>
    <row r="133" spans="1:29">
      <c r="A133" s="7"/>
      <c r="C133" s="1" t="s">
        <v>19</v>
      </c>
      <c r="D133" s="8">
        <v>13.6359381921813</v>
      </c>
      <c r="E133" s="8">
        <v>-1.9695253920112719</v>
      </c>
      <c r="F133" s="8">
        <v>4.0312879813338371</v>
      </c>
      <c r="G133" s="8">
        <v>-3.9371548963602931</v>
      </c>
      <c r="H133" s="8">
        <v>-1.5686321651139781</v>
      </c>
      <c r="I133" s="8">
        <v>-3.4136434301710077</v>
      </c>
      <c r="J133" s="8">
        <v>-20.187088169462765</v>
      </c>
      <c r="K133" s="8">
        <v>9.1770692331250512</v>
      </c>
      <c r="L133" s="13">
        <v>-4.2317486464791276</v>
      </c>
      <c r="AC133" s="7"/>
    </row>
    <row r="134" spans="1:29">
      <c r="A134" s="7"/>
      <c r="C134" s="1" t="s">
        <v>20</v>
      </c>
      <c r="D134" s="8">
        <v>-0.16530670069171</v>
      </c>
      <c r="E134" s="8">
        <v>-5.8476617283466732</v>
      </c>
      <c r="F134" s="8">
        <v>9.8709501480228159</v>
      </c>
      <c r="G134" s="8">
        <v>-16.094888348264906</v>
      </c>
      <c r="H134" s="8">
        <v>-0.62412741693825713</v>
      </c>
      <c r="I134" s="8">
        <v>-11.512024610936558</v>
      </c>
      <c r="J134" s="8">
        <v>11.246759602405644</v>
      </c>
      <c r="K134" s="8">
        <v>16.873422741862818</v>
      </c>
      <c r="L134" s="13">
        <v>3.7471236871131719</v>
      </c>
      <c r="AC134" s="7"/>
    </row>
    <row r="135" spans="1:29">
      <c r="A135" s="7"/>
      <c r="D135" s="13">
        <v>31.907311438793812</v>
      </c>
      <c r="E135" s="13">
        <v>3.2584621772982354</v>
      </c>
      <c r="F135" s="13">
        <v>23.851726346019383</v>
      </c>
      <c r="G135" s="13">
        <v>-7.2592304075093388</v>
      </c>
      <c r="H135" s="13">
        <v>-33.433402836382861</v>
      </c>
      <c r="I135" s="13">
        <v>-26.866280063610773</v>
      </c>
      <c r="J135" s="13">
        <v>9.450913998411588</v>
      </c>
      <c r="K135" s="13">
        <v>28.012417684108971</v>
      </c>
      <c r="L135" s="2">
        <v>57.843836674258043</v>
      </c>
      <c r="M135" t="s">
        <v>53</v>
      </c>
      <c r="AC135" s="7"/>
    </row>
    <row r="136" spans="1:29">
      <c r="A136" s="7"/>
      <c r="AC136" s="7"/>
    </row>
    <row r="137" spans="1:29">
      <c r="A137" s="7"/>
      <c r="AC137" s="7"/>
    </row>
    <row r="138" spans="1:29">
      <c r="A138" s="7"/>
      <c r="C138" t="s">
        <v>52</v>
      </c>
      <c r="AC138" s="7"/>
    </row>
    <row r="139" spans="1:29">
      <c r="A139" s="7"/>
      <c r="C139" s="1"/>
      <c r="D139" s="1" t="s">
        <v>13</v>
      </c>
      <c r="E139" s="1" t="s">
        <v>14</v>
      </c>
      <c r="F139" s="1" t="s">
        <v>15</v>
      </c>
      <c r="G139" s="1" t="s">
        <v>16</v>
      </c>
      <c r="H139" s="1" t="s">
        <v>17</v>
      </c>
      <c r="I139" s="1" t="s">
        <v>18</v>
      </c>
      <c r="J139" s="1" t="s">
        <v>19</v>
      </c>
      <c r="K139" s="1" t="s">
        <v>20</v>
      </c>
      <c r="L139" s="7"/>
      <c r="AC139" s="7"/>
    </row>
    <row r="140" spans="1:29">
      <c r="A140" s="7"/>
      <c r="C140" s="1" t="s">
        <v>13</v>
      </c>
      <c r="D140" s="8">
        <v>6.2192216126065285E-3</v>
      </c>
      <c r="E140" s="8">
        <v>0.11080073465723816</v>
      </c>
      <c r="F140" s="8">
        <v>0.24652540727761107</v>
      </c>
      <c r="G140" s="8">
        <v>0.12202677129985207</v>
      </c>
      <c r="H140" s="8">
        <v>4.0490374687490549</v>
      </c>
      <c r="I140" s="8">
        <v>3.2818288594300472E-3</v>
      </c>
      <c r="J140" s="8">
        <v>2.2646788304064853</v>
      </c>
      <c r="K140" s="8">
        <v>1.1195799616900144</v>
      </c>
      <c r="L140" s="14">
        <v>7.9221502245522935</v>
      </c>
      <c r="AC140" s="7"/>
    </row>
    <row r="141" spans="1:29">
      <c r="A141" s="7"/>
      <c r="C141" s="1" t="s">
        <v>14</v>
      </c>
      <c r="D141" s="8">
        <v>1.7513847262892783E-2</v>
      </c>
      <c r="E141" s="8">
        <v>0.31509331507521121</v>
      </c>
      <c r="F141" s="8">
        <v>1.4823797720074754</v>
      </c>
      <c r="G141" s="8">
        <v>0.13319936668827995</v>
      </c>
      <c r="H141" s="8">
        <v>8.2598173201226963E-2</v>
      </c>
      <c r="I141" s="8">
        <v>0.54642176339852067</v>
      </c>
      <c r="J141" s="8">
        <v>0.46864183571014617</v>
      </c>
      <c r="K141" s="8">
        <v>0.38871393363370293</v>
      </c>
      <c r="L141" s="14">
        <v>3.4345620069774565</v>
      </c>
      <c r="AC141" s="7"/>
    </row>
    <row r="142" spans="1:29">
      <c r="A142" s="7"/>
      <c r="C142" s="1" t="s">
        <v>15</v>
      </c>
      <c r="D142" s="8">
        <v>3.9105058255074036E-3</v>
      </c>
      <c r="E142" s="8">
        <v>0.27159821980618648</v>
      </c>
      <c r="F142" s="8">
        <v>6.6928797223751627E-2</v>
      </c>
      <c r="G142" s="8">
        <v>0.8972676385703271</v>
      </c>
      <c r="H142" s="8">
        <v>1.8742090683875657E-2</v>
      </c>
      <c r="I142" s="8">
        <v>0.65535051703263969</v>
      </c>
      <c r="J142" s="8">
        <v>0.23373222207717739</v>
      </c>
      <c r="K142" s="8">
        <v>1.8521586075293264E-2</v>
      </c>
      <c r="L142" s="14">
        <v>2.1660515772947586</v>
      </c>
      <c r="AC142" s="7"/>
    </row>
    <row r="143" spans="1:29">
      <c r="A143" s="7"/>
      <c r="C143" s="1" t="s">
        <v>16</v>
      </c>
      <c r="D143" s="8">
        <v>1.285136348949203E-6</v>
      </c>
      <c r="E143" s="8">
        <v>1.4506102988612667E-2</v>
      </c>
      <c r="F143" s="8">
        <v>0.34202734699063875</v>
      </c>
      <c r="G143" s="8">
        <v>0.93641940339106711</v>
      </c>
      <c r="H143" s="8">
        <v>0.19010416891572127</v>
      </c>
      <c r="I143" s="8">
        <v>9.5451056406977066E-3</v>
      </c>
      <c r="J143" s="8">
        <v>1.0339911013790535</v>
      </c>
      <c r="K143" s="8">
        <v>0.81095276749726575</v>
      </c>
      <c r="L143" s="14">
        <v>3.3375472819394054</v>
      </c>
      <c r="AC143" s="7"/>
    </row>
    <row r="144" spans="1:29">
      <c r="A144" s="7"/>
      <c r="C144" s="1" t="s">
        <v>17</v>
      </c>
      <c r="D144" s="8">
        <v>1.7275305389142879</v>
      </c>
      <c r="E144" s="8">
        <v>0.16158267576964544</v>
      </c>
      <c r="F144" s="8">
        <v>0.98384830445948512</v>
      </c>
      <c r="G144" s="8">
        <v>2.4229815688390657</v>
      </c>
      <c r="H144" s="8">
        <v>3.0615688864468411</v>
      </c>
      <c r="I144" s="8">
        <v>1.0291929417349135</v>
      </c>
      <c r="J144" s="8">
        <v>0.46807433565794138</v>
      </c>
      <c r="K144" s="8">
        <v>1.0022618727836687</v>
      </c>
      <c r="L144" s="14">
        <v>10.85704112460585</v>
      </c>
      <c r="AC144" s="7"/>
    </row>
    <row r="145" spans="1:29">
      <c r="A145" s="7"/>
      <c r="C145" s="1" t="s">
        <v>18</v>
      </c>
      <c r="D145" s="8">
        <v>0.39953170879503619</v>
      </c>
      <c r="E145" s="8">
        <v>0.1739398922463771</v>
      </c>
      <c r="F145" s="8">
        <v>1.1195799616900144</v>
      </c>
      <c r="G145" s="8">
        <v>5.5502425910594946</v>
      </c>
      <c r="H145" s="8">
        <v>0.59466105702413474</v>
      </c>
      <c r="I145" s="8">
        <v>3.7683813001965084E-2</v>
      </c>
      <c r="J145" s="8">
        <v>0.21875377682195091</v>
      </c>
      <c r="K145" s="8">
        <v>0.17709962127481957</v>
      </c>
      <c r="L145" s="14">
        <v>8.2714924219137931</v>
      </c>
      <c r="AC145" s="7"/>
    </row>
    <row r="146" spans="1:29">
      <c r="A146" s="7"/>
      <c r="C146" s="1" t="s">
        <v>19</v>
      </c>
      <c r="D146" s="8">
        <v>4.0718344546147174</v>
      </c>
      <c r="E146" s="8">
        <v>5.3067970947422811</v>
      </c>
      <c r="F146" s="8">
        <v>0.10221480106471305</v>
      </c>
      <c r="G146" s="8">
        <v>0.55452665039177917</v>
      </c>
      <c r="H146" s="8">
        <v>1.640419529270087E-2</v>
      </c>
      <c r="I146" s="8">
        <v>0.41669293724508977</v>
      </c>
      <c r="J146" s="8">
        <v>0.30435119317784143</v>
      </c>
      <c r="K146" s="8">
        <v>0.2884436031023313</v>
      </c>
      <c r="L146" s="14">
        <v>11.061264929631456</v>
      </c>
      <c r="AC146" s="7"/>
    </row>
    <row r="147" spans="1:29">
      <c r="A147" s="7"/>
      <c r="C147" s="1" t="s">
        <v>20</v>
      </c>
      <c r="D147" s="8">
        <v>3.9039393229996226E-3</v>
      </c>
      <c r="E147" s="8">
        <v>1.3207514014962511</v>
      </c>
      <c r="F147" s="8">
        <v>2.3879806087790287</v>
      </c>
      <c r="G147" s="8">
        <v>2.0264603296199568</v>
      </c>
      <c r="H147" s="8">
        <v>1.2566070667974228E-2</v>
      </c>
      <c r="I147" s="8">
        <v>1.0123054933747564</v>
      </c>
      <c r="J147" s="8">
        <v>0.43028920956167982</v>
      </c>
      <c r="K147" s="8">
        <v>0.22019832601889749</v>
      </c>
      <c r="L147" s="14">
        <v>7.4144553788415442</v>
      </c>
      <c r="N147">
        <v>0.58145787635879231</v>
      </c>
      <c r="AC147" s="7"/>
    </row>
    <row r="148" spans="1:29">
      <c r="A148" s="7"/>
      <c r="B148" s="7"/>
      <c r="C148" s="7"/>
      <c r="D148" s="14">
        <v>6.2304455014843976</v>
      </c>
      <c r="E148" s="14">
        <v>7.6750694367818033</v>
      </c>
      <c r="F148" s="14">
        <v>6.7314849994927188</v>
      </c>
      <c r="G148" s="14">
        <v>12.643124319859821</v>
      </c>
      <c r="H148" s="14">
        <v>8.0256821109815295</v>
      </c>
      <c r="I148" s="14">
        <v>3.710474400288013</v>
      </c>
      <c r="J148" s="14">
        <v>5.4225125047922758</v>
      </c>
      <c r="K148" s="14">
        <v>4.0257716720759928</v>
      </c>
      <c r="L148" s="15">
        <v>54.464564945756557</v>
      </c>
      <c r="M148" t="s">
        <v>11</v>
      </c>
      <c r="N148" s="7">
        <v>0.41854212364120769</v>
      </c>
      <c r="O148" s="7" t="s">
        <v>61</v>
      </c>
      <c r="P148" s="7"/>
      <c r="Q148" s="7"/>
      <c r="R148" s="7"/>
      <c r="S148" s="7"/>
      <c r="T148" s="7"/>
      <c r="U148" s="7"/>
      <c r="V148" s="7"/>
      <c r="W148" s="7"/>
      <c r="X148" s="7"/>
      <c r="Y148" s="7"/>
      <c r="Z148" s="7"/>
      <c r="AA148" s="7"/>
      <c r="AB148" s="7"/>
      <c r="AC148" s="7"/>
    </row>
  </sheetData>
  <pageMargins left="0.7" right="0.7" top="0.75" bottom="0.75" header="0.3" footer="0.3"/>
  <pageSetup orientation="portrait" horizontalDpi="4294967292" verticalDpi="4294967292"/>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48"/>
  <sheetViews>
    <sheetView workbookViewId="0">
      <selection activeCell="D4" sqref="D4:K11"/>
    </sheetView>
  </sheetViews>
  <sheetFormatPr baseColWidth="10" defaultColWidth="8.83203125" defaultRowHeight="14" x14ac:dyDescent="0"/>
  <sheetData>
    <row r="1" spans="1:29">
      <c r="A1" s="16" t="s">
        <v>0</v>
      </c>
      <c r="B1" s="16" t="s">
        <v>1</v>
      </c>
      <c r="C1" s="16" t="s">
        <v>2</v>
      </c>
      <c r="D1" s="16" t="s">
        <v>3</v>
      </c>
      <c r="E1" s="16" t="s">
        <v>4</v>
      </c>
      <c r="F1" s="16" t="s">
        <v>5</v>
      </c>
      <c r="G1" s="16" t="s">
        <v>6</v>
      </c>
      <c r="H1" s="16" t="s">
        <v>7</v>
      </c>
      <c r="I1" s="16" t="s">
        <v>8</v>
      </c>
      <c r="J1" s="16" t="s">
        <v>9</v>
      </c>
      <c r="K1" s="16" t="s">
        <v>10</v>
      </c>
      <c r="L1" s="7"/>
      <c r="M1" s="7"/>
      <c r="N1" s="7"/>
      <c r="O1" s="7"/>
      <c r="P1" s="7"/>
      <c r="Q1" s="7"/>
      <c r="R1" s="7"/>
      <c r="S1" s="7"/>
      <c r="T1" s="7"/>
      <c r="U1" s="7"/>
      <c r="V1" s="7"/>
      <c r="W1" s="7"/>
      <c r="X1" s="7"/>
      <c r="Y1" s="7"/>
      <c r="Z1" s="7"/>
      <c r="AA1" s="7"/>
      <c r="AB1" s="7"/>
      <c r="AC1" s="7"/>
    </row>
    <row r="2" spans="1:29">
      <c r="A2" s="18">
        <v>9.7432664230725982E-2</v>
      </c>
      <c r="B2" s="18">
        <v>9.9941566202749493E-2</v>
      </c>
      <c r="C2" s="18">
        <v>0.10289199812064567</v>
      </c>
      <c r="D2" s="18">
        <v>0.32368984519132943</v>
      </c>
      <c r="E2" s="18">
        <v>0</v>
      </c>
      <c r="F2" s="18">
        <v>0</v>
      </c>
      <c r="G2" s="18">
        <v>1.3375637217650561E-3</v>
      </c>
      <c r="H2" s="18">
        <v>1.8799224350154839E-3</v>
      </c>
      <c r="I2" s="18">
        <v>1.4178361366537367E-3</v>
      </c>
      <c r="J2" s="18">
        <v>0.34037167077080938</v>
      </c>
      <c r="K2" s="18">
        <v>0.33130316295422402</v>
      </c>
      <c r="L2" s="1">
        <v>1.0000000012097972</v>
      </c>
      <c r="N2" t="s">
        <v>36</v>
      </c>
      <c r="O2" s="4">
        <v>0.6462</v>
      </c>
      <c r="P2" s="4">
        <v>0.64149999999999996</v>
      </c>
      <c r="Y2" t="s">
        <v>85</v>
      </c>
      <c r="AC2" s="7"/>
    </row>
    <row r="3" spans="1:29">
      <c r="A3" t="s">
        <v>95</v>
      </c>
      <c r="B3" s="20">
        <v>60.97949436353462</v>
      </c>
      <c r="C3" s="17" t="s">
        <v>12</v>
      </c>
      <c r="D3" s="1" t="s">
        <v>13</v>
      </c>
      <c r="E3" s="1" t="s">
        <v>14</v>
      </c>
      <c r="F3" s="1" t="s">
        <v>15</v>
      </c>
      <c r="G3" s="1" t="s">
        <v>16</v>
      </c>
      <c r="H3" s="1" t="s">
        <v>17</v>
      </c>
      <c r="I3" s="1" t="s">
        <v>18</v>
      </c>
      <c r="J3" s="1" t="s">
        <v>19</v>
      </c>
      <c r="K3" s="1" t="s">
        <v>20</v>
      </c>
      <c r="L3" s="1"/>
      <c r="N3" t="s">
        <v>37</v>
      </c>
      <c r="O3" s="4">
        <v>0.6351</v>
      </c>
      <c r="P3" s="4">
        <v>0.64119999999999999</v>
      </c>
      <c r="Q3" t="s">
        <v>55</v>
      </c>
      <c r="Y3" s="1" t="s">
        <v>12</v>
      </c>
      <c r="Z3" t="s">
        <v>47</v>
      </c>
      <c r="AA3" t="s">
        <v>48</v>
      </c>
      <c r="AB3" t="s">
        <v>49</v>
      </c>
      <c r="AC3" s="7"/>
    </row>
    <row r="4" spans="1:29">
      <c r="A4" t="s">
        <v>21</v>
      </c>
      <c r="B4">
        <v>0.21090853990649153</v>
      </c>
      <c r="C4" s="1" t="s">
        <v>13</v>
      </c>
      <c r="D4" s="24">
        <v>1706</v>
      </c>
      <c r="E4" s="24">
        <v>226</v>
      </c>
      <c r="F4" s="24">
        <v>198</v>
      </c>
      <c r="G4" s="24">
        <v>24</v>
      </c>
      <c r="H4" s="24">
        <v>200</v>
      </c>
      <c r="I4" s="24">
        <v>19</v>
      </c>
      <c r="J4" s="24">
        <v>37</v>
      </c>
      <c r="K4" s="24">
        <v>8</v>
      </c>
      <c r="L4" s="1">
        <v>2418</v>
      </c>
      <c r="N4" t="s">
        <v>38</v>
      </c>
      <c r="O4" s="4">
        <v>0.36499999999999999</v>
      </c>
      <c r="P4" s="4">
        <v>0.37159999999999999</v>
      </c>
      <c r="Q4" t="s">
        <v>56</v>
      </c>
      <c r="T4" t="s">
        <v>44</v>
      </c>
      <c r="V4" t="s">
        <v>57</v>
      </c>
      <c r="Y4" s="1" t="s">
        <v>13</v>
      </c>
      <c r="Z4">
        <v>2418</v>
      </c>
      <c r="AA4">
        <v>1706</v>
      </c>
      <c r="AB4">
        <v>712</v>
      </c>
      <c r="AC4" s="7"/>
    </row>
    <row r="5" spans="1:29">
      <c r="C5" s="1" t="s">
        <v>14</v>
      </c>
      <c r="D5" s="24">
        <v>177</v>
      </c>
      <c r="E5" s="24">
        <v>19</v>
      </c>
      <c r="F5" s="24">
        <v>31</v>
      </c>
      <c r="G5" s="24">
        <v>9</v>
      </c>
      <c r="H5" s="24">
        <v>25</v>
      </c>
      <c r="I5" s="24">
        <v>5</v>
      </c>
      <c r="J5" s="24">
        <v>9</v>
      </c>
      <c r="K5" s="24">
        <v>15</v>
      </c>
      <c r="L5" s="1">
        <v>290</v>
      </c>
      <c r="M5" s="10" t="s">
        <v>39</v>
      </c>
      <c r="N5" s="10">
        <v>1</v>
      </c>
      <c r="O5" s="10">
        <v>2</v>
      </c>
      <c r="P5" s="10" t="s">
        <v>39</v>
      </c>
      <c r="Q5" s="10">
        <v>1</v>
      </c>
      <c r="R5" s="10">
        <v>2</v>
      </c>
      <c r="S5" s="10" t="s">
        <v>39</v>
      </c>
      <c r="T5" s="10">
        <v>1</v>
      </c>
      <c r="U5" s="10">
        <v>2</v>
      </c>
      <c r="V5" s="10" t="s">
        <v>11</v>
      </c>
      <c r="W5" t="s">
        <v>42</v>
      </c>
      <c r="X5" t="s">
        <v>43</v>
      </c>
      <c r="Y5" s="1" t="s">
        <v>14</v>
      </c>
      <c r="Z5">
        <v>290</v>
      </c>
      <c r="AA5">
        <v>19</v>
      </c>
      <c r="AB5">
        <v>271</v>
      </c>
      <c r="AC5" s="7"/>
    </row>
    <row r="6" spans="1:29">
      <c r="A6" t="s">
        <v>22</v>
      </c>
      <c r="B6" s="19">
        <v>9.7432664230725982E-2</v>
      </c>
      <c r="C6" s="1" t="s">
        <v>15</v>
      </c>
      <c r="D6" s="24">
        <v>169</v>
      </c>
      <c r="E6" s="24">
        <v>23</v>
      </c>
      <c r="F6" s="24">
        <v>39</v>
      </c>
      <c r="G6" s="24">
        <v>8</v>
      </c>
      <c r="H6" s="24">
        <v>41</v>
      </c>
      <c r="I6" s="24">
        <v>11</v>
      </c>
      <c r="J6" s="24">
        <v>206</v>
      </c>
      <c r="K6" s="24">
        <v>36</v>
      </c>
      <c r="L6" s="1">
        <v>533</v>
      </c>
      <c r="M6" s="10">
        <v>1</v>
      </c>
      <c r="N6">
        <v>2685</v>
      </c>
      <c r="O6">
        <v>853</v>
      </c>
      <c r="P6" s="10">
        <v>1</v>
      </c>
      <c r="Q6">
        <v>1268.373</v>
      </c>
      <c r="R6">
        <v>2269.627</v>
      </c>
      <c r="S6" s="10">
        <v>1</v>
      </c>
      <c r="T6">
        <v>1582.2096947262357</v>
      </c>
      <c r="U6">
        <v>884.21227678777166</v>
      </c>
      <c r="V6" s="23">
        <v>3816.8089933673905</v>
      </c>
      <c r="W6">
        <v>1</v>
      </c>
      <c r="X6" s="23">
        <v>0</v>
      </c>
      <c r="Y6" s="1" t="s">
        <v>15</v>
      </c>
      <c r="Z6">
        <v>533</v>
      </c>
      <c r="AA6">
        <v>39</v>
      </c>
      <c r="AB6">
        <v>494</v>
      </c>
      <c r="AC6" s="7"/>
    </row>
    <row r="7" spans="1:29">
      <c r="A7" t="s">
        <v>23</v>
      </c>
      <c r="B7" s="19">
        <v>9.9941566202749493E-2</v>
      </c>
      <c r="C7" s="1" t="s">
        <v>16</v>
      </c>
      <c r="D7" s="24">
        <v>18</v>
      </c>
      <c r="E7" s="24">
        <v>2</v>
      </c>
      <c r="F7" s="24">
        <v>9</v>
      </c>
      <c r="G7" s="24">
        <v>27</v>
      </c>
      <c r="H7" s="24">
        <v>6</v>
      </c>
      <c r="I7" s="24">
        <v>22</v>
      </c>
      <c r="J7" s="24">
        <v>38</v>
      </c>
      <c r="K7" s="24">
        <v>175</v>
      </c>
      <c r="L7" s="1">
        <v>297</v>
      </c>
      <c r="M7" s="10">
        <v>2</v>
      </c>
      <c r="N7">
        <v>900</v>
      </c>
      <c r="O7">
        <v>5562</v>
      </c>
      <c r="P7" s="10">
        <v>2</v>
      </c>
      <c r="Q7">
        <v>2316.627</v>
      </c>
      <c r="R7">
        <v>4145.3729999999996</v>
      </c>
      <c r="S7" s="10">
        <v>2</v>
      </c>
      <c r="T7">
        <v>866.27327451894496</v>
      </c>
      <c r="U7">
        <v>484.11374733443802</v>
      </c>
      <c r="Y7" s="1" t="s">
        <v>16</v>
      </c>
      <c r="Z7">
        <v>297</v>
      </c>
      <c r="AA7">
        <v>27</v>
      </c>
      <c r="AB7">
        <v>270</v>
      </c>
      <c r="AC7" s="7"/>
    </row>
    <row r="8" spans="1:29">
      <c r="A8" t="s">
        <v>24</v>
      </c>
      <c r="B8" s="19">
        <v>0.10289199812064567</v>
      </c>
      <c r="C8" s="1" t="s">
        <v>17</v>
      </c>
      <c r="D8" s="24">
        <v>203</v>
      </c>
      <c r="E8" s="24">
        <v>16</v>
      </c>
      <c r="F8" s="24">
        <v>40</v>
      </c>
      <c r="G8" s="24">
        <v>7</v>
      </c>
      <c r="H8" s="24">
        <v>53</v>
      </c>
      <c r="I8" s="24">
        <v>10</v>
      </c>
      <c r="J8" s="24">
        <v>202</v>
      </c>
      <c r="K8" s="24">
        <v>45</v>
      </c>
      <c r="L8" s="1">
        <v>576</v>
      </c>
      <c r="M8" s="10" t="s">
        <v>40</v>
      </c>
      <c r="N8">
        <v>1</v>
      </c>
      <c r="O8">
        <v>2</v>
      </c>
      <c r="P8" s="10" t="s">
        <v>40</v>
      </c>
      <c r="S8" s="10" t="s">
        <v>40</v>
      </c>
      <c r="Y8" s="1" t="s">
        <v>17</v>
      </c>
      <c r="Z8">
        <v>576</v>
      </c>
      <c r="AA8">
        <v>53</v>
      </c>
      <c r="AB8">
        <v>523</v>
      </c>
      <c r="AC8" s="7"/>
    </row>
    <row r="9" spans="1:29">
      <c r="C9" s="1" t="s">
        <v>18</v>
      </c>
      <c r="D9" s="24">
        <v>19</v>
      </c>
      <c r="E9" s="24">
        <v>9</v>
      </c>
      <c r="F9" s="24">
        <v>6</v>
      </c>
      <c r="G9" s="24">
        <v>20</v>
      </c>
      <c r="H9" s="24">
        <v>8</v>
      </c>
      <c r="I9" s="24">
        <v>28</v>
      </c>
      <c r="J9" s="24">
        <v>59</v>
      </c>
      <c r="K9" s="24">
        <v>216</v>
      </c>
      <c r="L9" s="1">
        <v>365</v>
      </c>
      <c r="M9" s="10">
        <v>1</v>
      </c>
      <c r="N9">
        <v>2723</v>
      </c>
      <c r="O9">
        <v>926</v>
      </c>
      <c r="P9" s="10">
        <v>1</v>
      </c>
      <c r="Q9">
        <v>1309.2611999999999</v>
      </c>
      <c r="R9">
        <v>2339.7388000000001</v>
      </c>
      <c r="S9" s="10">
        <v>1</v>
      </c>
      <c r="T9">
        <v>1526.5535972695443</v>
      </c>
      <c r="U9">
        <v>854.22244338788596</v>
      </c>
      <c r="V9" s="23">
        <v>3748.6632666626201</v>
      </c>
      <c r="W9">
        <v>1</v>
      </c>
      <c r="X9" s="23">
        <v>0</v>
      </c>
      <c r="Y9" s="1" t="s">
        <v>18</v>
      </c>
      <c r="Z9">
        <v>365</v>
      </c>
      <c r="AA9">
        <v>28</v>
      </c>
      <c r="AB9">
        <v>337</v>
      </c>
      <c r="AC9" s="7"/>
    </row>
    <row r="10" spans="1:29">
      <c r="A10" s="7"/>
      <c r="C10" s="1" t="s">
        <v>19</v>
      </c>
      <c r="D10" s="24">
        <v>57</v>
      </c>
      <c r="E10" s="24">
        <v>8</v>
      </c>
      <c r="F10" s="24">
        <v>192</v>
      </c>
      <c r="G10" s="24">
        <v>37</v>
      </c>
      <c r="H10" s="24">
        <v>190</v>
      </c>
      <c r="I10" s="24">
        <v>41</v>
      </c>
      <c r="J10" s="24">
        <v>1865</v>
      </c>
      <c r="K10" s="24">
        <v>433</v>
      </c>
      <c r="L10" s="1">
        <v>2823</v>
      </c>
      <c r="M10" s="10">
        <v>2</v>
      </c>
      <c r="N10">
        <v>865</v>
      </c>
      <c r="O10">
        <v>5486</v>
      </c>
      <c r="P10" s="10">
        <v>2</v>
      </c>
      <c r="Q10">
        <v>2278.7388000000001</v>
      </c>
      <c r="R10">
        <v>4072.2611999999999</v>
      </c>
      <c r="S10" s="10">
        <v>2</v>
      </c>
      <c r="T10">
        <v>877.08928931452795</v>
      </c>
      <c r="U10">
        <v>490.79793669066225</v>
      </c>
      <c r="Y10" s="1" t="s">
        <v>19</v>
      </c>
      <c r="Z10">
        <v>2823</v>
      </c>
      <c r="AA10">
        <v>1865</v>
      </c>
      <c r="AB10">
        <v>958</v>
      </c>
      <c r="AC10" s="7"/>
    </row>
    <row r="11" spans="1:29">
      <c r="A11" s="7">
        <v>0</v>
      </c>
      <c r="B11" s="6">
        <v>0</v>
      </c>
      <c r="C11" s="1" t="s">
        <v>20</v>
      </c>
      <c r="D11" s="24">
        <v>12</v>
      </c>
      <c r="E11" s="24">
        <v>17</v>
      </c>
      <c r="F11" s="24">
        <v>47</v>
      </c>
      <c r="G11" s="24">
        <v>210</v>
      </c>
      <c r="H11" s="24">
        <v>49</v>
      </c>
      <c r="I11" s="24">
        <v>199</v>
      </c>
      <c r="J11" s="24">
        <v>373</v>
      </c>
      <c r="K11" s="24">
        <v>1791</v>
      </c>
      <c r="L11" s="1">
        <v>2698</v>
      </c>
      <c r="M11" s="10" t="s">
        <v>41</v>
      </c>
      <c r="N11">
        <v>1</v>
      </c>
      <c r="O11">
        <v>2</v>
      </c>
      <c r="P11" s="10" t="s">
        <v>41</v>
      </c>
      <c r="S11" s="10" t="s">
        <v>41</v>
      </c>
      <c r="Y11" s="1" t="s">
        <v>20</v>
      </c>
      <c r="Z11">
        <v>2698</v>
      </c>
      <c r="AA11">
        <v>1791</v>
      </c>
      <c r="AB11">
        <v>907</v>
      </c>
      <c r="AC11" s="7"/>
    </row>
    <row r="12" spans="1:29">
      <c r="A12" s="7"/>
      <c r="B12" s="6"/>
      <c r="C12" s="1"/>
      <c r="D12" s="1">
        <v>2361</v>
      </c>
      <c r="E12" s="1">
        <v>320</v>
      </c>
      <c r="F12" s="1">
        <v>562</v>
      </c>
      <c r="G12" s="1">
        <v>342</v>
      </c>
      <c r="H12" s="1">
        <v>572</v>
      </c>
      <c r="I12" s="1">
        <v>335</v>
      </c>
      <c r="J12" s="1">
        <v>2789</v>
      </c>
      <c r="K12" s="1">
        <v>2719</v>
      </c>
      <c r="L12" s="1">
        <v>10000</v>
      </c>
      <c r="M12" s="10">
        <v>1</v>
      </c>
      <c r="N12">
        <v>5398</v>
      </c>
      <c r="O12">
        <v>952</v>
      </c>
      <c r="P12" s="10">
        <v>1</v>
      </c>
      <c r="Q12">
        <v>3990.34</v>
      </c>
      <c r="R12">
        <v>2359.66</v>
      </c>
      <c r="S12" s="10">
        <v>1</v>
      </c>
      <c r="T12">
        <v>496.57589969776996</v>
      </c>
      <c r="U12">
        <v>839.74245255672406</v>
      </c>
      <c r="V12" s="23">
        <v>3661.1461705602587</v>
      </c>
      <c r="W12">
        <v>1</v>
      </c>
      <c r="X12" s="23">
        <v>0</v>
      </c>
      <c r="Y12" s="1" t="s">
        <v>46</v>
      </c>
      <c r="Z12" s="7">
        <v>10000</v>
      </c>
      <c r="AA12" s="7">
        <v>5528</v>
      </c>
      <c r="AB12" s="7">
        <v>4472</v>
      </c>
      <c r="AC12" s="7"/>
    </row>
    <row r="13" spans="1:29">
      <c r="A13" s="7"/>
      <c r="C13" s="1" t="s">
        <v>25</v>
      </c>
      <c r="D13" s="4">
        <v>0.23589792636015486</v>
      </c>
      <c r="E13" s="4">
        <v>2.7055838254553249E-2</v>
      </c>
      <c r="F13" s="4">
        <v>2.6193864019417135E-2</v>
      </c>
      <c r="G13" s="4">
        <v>3.0042525557817576E-3</v>
      </c>
      <c r="H13" s="4">
        <v>2.5465317146873792E-2</v>
      </c>
      <c r="I13" s="4">
        <v>2.9206933374005878E-3</v>
      </c>
      <c r="J13" s="4">
        <v>2.8276427217853303E-3</v>
      </c>
      <c r="K13" s="4">
        <v>3.2431079536276427E-4</v>
      </c>
      <c r="M13" s="10">
        <v>2</v>
      </c>
      <c r="N13">
        <v>886</v>
      </c>
      <c r="O13">
        <v>2764</v>
      </c>
      <c r="P13" s="10">
        <v>2</v>
      </c>
      <c r="Q13">
        <v>2293.66</v>
      </c>
      <c r="R13">
        <v>1356.34</v>
      </c>
      <c r="S13" s="10">
        <v>2</v>
      </c>
      <c r="T13">
        <v>863.90601728242177</v>
      </c>
      <c r="U13">
        <v>1460.9218010233424</v>
      </c>
      <c r="AC13" s="7"/>
    </row>
    <row r="14" spans="1:29">
      <c r="A14" s="7"/>
      <c r="C14" s="1"/>
      <c r="D14" s="1" t="s">
        <v>13</v>
      </c>
      <c r="E14" s="1" t="s">
        <v>14</v>
      </c>
      <c r="F14" s="1" t="s">
        <v>15</v>
      </c>
      <c r="G14" s="1" t="s">
        <v>16</v>
      </c>
      <c r="H14" s="1" t="s">
        <v>17</v>
      </c>
      <c r="I14" s="1" t="s">
        <v>18</v>
      </c>
      <c r="J14" s="1" t="s">
        <v>19</v>
      </c>
      <c r="K14" s="1" t="s">
        <v>20</v>
      </c>
      <c r="L14" s="1"/>
      <c r="V14" s="7"/>
      <c r="W14" s="7"/>
      <c r="X14" s="7"/>
      <c r="Y14" s="7"/>
      <c r="Z14" s="7"/>
      <c r="AA14" s="7"/>
      <c r="AB14" s="7"/>
      <c r="AC14" s="7"/>
    </row>
    <row r="15" spans="1:29">
      <c r="A15" s="7"/>
      <c r="B15" s="4">
        <v>0.72877765510598025</v>
      </c>
      <c r="C15" s="1" t="s">
        <v>13</v>
      </c>
      <c r="D15" s="4">
        <v>0.17191713761711686</v>
      </c>
      <c r="E15" s="4">
        <v>1.9717690360079993E-2</v>
      </c>
      <c r="F15" s="4">
        <v>1.9089502798235725E-2</v>
      </c>
      <c r="G15" s="4">
        <v>2.1894321329487773E-3</v>
      </c>
      <c r="H15" s="4">
        <v>1.8558554116828795E-2</v>
      </c>
      <c r="I15" s="4">
        <v>2.1285360417144599E-3</v>
      </c>
      <c r="J15" s="4">
        <v>2.0607228322602048E-3</v>
      </c>
      <c r="K15" s="4">
        <v>2.3635046097003075E-4</v>
      </c>
      <c r="AC15" s="7"/>
    </row>
    <row r="16" spans="1:29">
      <c r="A16" s="7"/>
      <c r="B16" s="4">
        <v>8.3585687523069635E-2</v>
      </c>
      <c r="C16" s="1" t="s">
        <v>14</v>
      </c>
      <c r="D16" s="4">
        <v>1.9717690360079997E-2</v>
      </c>
      <c r="E16" s="4">
        <v>2.2614808420198017E-3</v>
      </c>
      <c r="F16" s="4">
        <v>2.1894321329487777E-3</v>
      </c>
      <c r="G16" s="4">
        <v>2.511125153679573E-4</v>
      </c>
      <c r="H16" s="4">
        <v>2.1285360417144599E-3</v>
      </c>
      <c r="I16" s="4">
        <v>2.4412816065067693E-4</v>
      </c>
      <c r="J16" s="4">
        <v>2.3635046097003075E-4</v>
      </c>
      <c r="K16" s="4">
        <v>2.7107740801550196E-5</v>
      </c>
      <c r="O16" s="8"/>
      <c r="AC16" s="7"/>
    </row>
    <row r="17" spans="1:29">
      <c r="A17" s="7"/>
      <c r="B17" s="4">
        <v>8.0922724047565453E-2</v>
      </c>
      <c r="C17" s="1" t="s">
        <v>15</v>
      </c>
      <c r="D17" s="4">
        <v>1.9089502798235729E-2</v>
      </c>
      <c r="E17" s="4">
        <v>2.1894321329487777E-3</v>
      </c>
      <c r="F17" s="4">
        <v>2.1196788297827467E-3</v>
      </c>
      <c r="G17" s="4">
        <v>2.431123005407204E-4</v>
      </c>
      <c r="H17" s="4">
        <v>2.0607228322602048E-3</v>
      </c>
      <c r="I17" s="4">
        <v>2.3635046097003075E-4</v>
      </c>
      <c r="J17" s="4">
        <v>2.2882055168014118E-4</v>
      </c>
      <c r="K17" s="4">
        <v>2.6244112998787442E-5</v>
      </c>
      <c r="AC17" s="7"/>
    </row>
    <row r="18" spans="1:29">
      <c r="A18" s="7"/>
      <c r="B18" s="4">
        <v>9.2812690926586776E-3</v>
      </c>
      <c r="C18" s="1" t="s">
        <v>16</v>
      </c>
      <c r="D18" s="4">
        <v>2.1894321329487781E-3</v>
      </c>
      <c r="E18" s="4">
        <v>2.5111251536795735E-4</v>
      </c>
      <c r="F18" s="4">
        <v>2.4311230054072046E-4</v>
      </c>
      <c r="G18" s="4">
        <v>2.7883276392518068E-5</v>
      </c>
      <c r="H18" s="4">
        <v>2.3635046097003078E-4</v>
      </c>
      <c r="I18" s="4">
        <v>2.7107740801550199E-5</v>
      </c>
      <c r="J18" s="4">
        <v>2.6244112998787446E-5</v>
      </c>
      <c r="K18" s="4">
        <v>3.0100157614159773E-6</v>
      </c>
      <c r="AC18" s="7"/>
    </row>
    <row r="19" spans="1:29">
      <c r="A19" s="7"/>
      <c r="B19" s="4">
        <v>7.8671968012532276E-2</v>
      </c>
      <c r="C19" s="1" t="s">
        <v>17</v>
      </c>
      <c r="D19" s="4">
        <v>1.8558554116828798E-2</v>
      </c>
      <c r="E19" s="4">
        <v>2.1285360417144603E-3</v>
      </c>
      <c r="F19" s="4">
        <v>2.0607228322602048E-3</v>
      </c>
      <c r="G19" s="4">
        <v>2.3635046097003078E-4</v>
      </c>
      <c r="H19" s="4">
        <v>2.0034066160078447E-3</v>
      </c>
      <c r="I19" s="4">
        <v>2.2977669281439519E-4</v>
      </c>
      <c r="J19" s="4">
        <v>2.2245621775916522E-4</v>
      </c>
      <c r="K19" s="4">
        <v>2.5514168518898292E-5</v>
      </c>
      <c r="AC19" s="7"/>
    </row>
    <row r="20" spans="1:29">
      <c r="A20" s="7"/>
      <c r="B20" s="4">
        <v>9.023123155668349E-3</v>
      </c>
      <c r="C20" s="1" t="s">
        <v>18</v>
      </c>
      <c r="D20" s="4">
        <v>2.1285360417144603E-3</v>
      </c>
      <c r="E20" s="4">
        <v>2.4412816065067696E-4</v>
      </c>
      <c r="F20" s="4">
        <v>2.3635046097003075E-4</v>
      </c>
      <c r="G20" s="4">
        <v>2.7107740801550196E-5</v>
      </c>
      <c r="H20" s="4">
        <v>2.2977669281439516E-4</v>
      </c>
      <c r="I20" s="4">
        <v>2.6353775683305514E-5</v>
      </c>
      <c r="J20" s="4">
        <v>2.5514168518898289E-5</v>
      </c>
      <c r="K20" s="4">
        <v>2.9262962472709776E-6</v>
      </c>
      <c r="AC20" s="7"/>
    </row>
    <row r="21" spans="1:29">
      <c r="A21" s="7"/>
      <c r="B21" s="4">
        <v>8.7356547132763536E-3</v>
      </c>
      <c r="C21" s="1" t="s">
        <v>19</v>
      </c>
      <c r="D21" s="4">
        <v>2.0607228322602048E-3</v>
      </c>
      <c r="E21" s="4">
        <v>2.3635046097003075E-4</v>
      </c>
      <c r="F21" s="4">
        <v>2.2882055168014118E-4</v>
      </c>
      <c r="G21" s="4">
        <v>2.6244112998787442E-5</v>
      </c>
      <c r="H21" s="4">
        <v>2.2245621775916519E-4</v>
      </c>
      <c r="I21" s="4">
        <v>2.5514168518898289E-5</v>
      </c>
      <c r="J21" s="4">
        <v>2.4701310470025597E-5</v>
      </c>
      <c r="K21" s="4">
        <v>2.8330671280771349E-6</v>
      </c>
      <c r="M21" t="s">
        <v>62</v>
      </c>
      <c r="AC21" s="7"/>
    </row>
    <row r="22" spans="1:29">
      <c r="A22" s="7"/>
      <c r="B22" s="4">
        <v>1.0019183492490096E-3</v>
      </c>
      <c r="C22" s="1" t="s">
        <v>20</v>
      </c>
      <c r="D22" s="4">
        <v>2.3635046097003078E-4</v>
      </c>
      <c r="E22" s="4">
        <v>2.7107740801550196E-5</v>
      </c>
      <c r="F22" s="4">
        <v>2.6244112998787442E-5</v>
      </c>
      <c r="G22" s="4">
        <v>3.0100157614159765E-6</v>
      </c>
      <c r="H22" s="4">
        <v>2.5514168518898289E-5</v>
      </c>
      <c r="I22" s="4">
        <v>2.9262962472709776E-6</v>
      </c>
      <c r="J22" s="4">
        <v>2.8330671280771344E-6</v>
      </c>
      <c r="K22" s="4">
        <v>3.249329367334941E-7</v>
      </c>
      <c r="AC22" s="7"/>
    </row>
    <row r="23" spans="1:29">
      <c r="A23" s="7"/>
      <c r="AC23" s="7"/>
    </row>
    <row r="24" spans="1:29">
      <c r="A24" s="7"/>
      <c r="C24" s="1" t="s">
        <v>26</v>
      </c>
      <c r="D24" s="4">
        <v>0</v>
      </c>
      <c r="E24" s="4">
        <v>0</v>
      </c>
      <c r="F24" s="4">
        <v>0</v>
      </c>
      <c r="G24" s="4">
        <v>0</v>
      </c>
      <c r="H24" s="4">
        <v>0</v>
      </c>
      <c r="I24" s="4">
        <v>0</v>
      </c>
      <c r="J24" s="4">
        <v>0</v>
      </c>
      <c r="K24" s="4">
        <v>0</v>
      </c>
      <c r="O24">
        <v>8.0830966320000017E-2</v>
      </c>
      <c r="P24">
        <v>4.7798833680000007E-2</v>
      </c>
      <c r="Q24">
        <v>0.14445043368000002</v>
      </c>
      <c r="R24">
        <v>8.5419766320000007E-2</v>
      </c>
      <c r="S24">
        <v>0.14463895368000002</v>
      </c>
      <c r="T24">
        <v>8.553124631999999E-2</v>
      </c>
      <c r="U24">
        <v>0.25847964632000003</v>
      </c>
      <c r="V24">
        <v>0.15285015367999999</v>
      </c>
      <c r="AC24" s="7"/>
    </row>
    <row r="25" spans="1:29">
      <c r="A25" s="7"/>
      <c r="C25" s="1"/>
      <c r="D25" s="1" t="s">
        <v>13</v>
      </c>
      <c r="E25" s="1" t="s">
        <v>14</v>
      </c>
      <c r="F25" s="1" t="s">
        <v>15</v>
      </c>
      <c r="G25" s="1" t="s">
        <v>16</v>
      </c>
      <c r="H25" s="1" t="s">
        <v>17</v>
      </c>
      <c r="I25" s="1" t="s">
        <v>18</v>
      </c>
      <c r="J25" s="1" t="s">
        <v>19</v>
      </c>
      <c r="K25" s="1" t="s">
        <v>20</v>
      </c>
      <c r="L25" s="1"/>
      <c r="N25" s="7"/>
      <c r="O25" s="1" t="s">
        <v>13</v>
      </c>
      <c r="P25" s="1" t="s">
        <v>14</v>
      </c>
      <c r="Q25" s="1" t="s">
        <v>15</v>
      </c>
      <c r="R25" s="1" t="s">
        <v>16</v>
      </c>
      <c r="S25" s="1" t="s">
        <v>17</v>
      </c>
      <c r="T25" s="1" t="s">
        <v>18</v>
      </c>
      <c r="U25" s="1" t="s">
        <v>19</v>
      </c>
      <c r="V25" s="1" t="s">
        <v>20</v>
      </c>
      <c r="AC25" s="7"/>
    </row>
    <row r="26" spans="1:29">
      <c r="A26" s="7"/>
      <c r="B26" s="4">
        <v>8.3585687523069635E-2</v>
      </c>
      <c r="C26" s="1" t="s">
        <v>13</v>
      </c>
      <c r="D26" s="4">
        <v>0</v>
      </c>
      <c r="E26" s="4">
        <v>0</v>
      </c>
      <c r="F26" s="4">
        <v>0</v>
      </c>
      <c r="G26" s="4">
        <v>0</v>
      </c>
      <c r="H26" s="4">
        <v>0</v>
      </c>
      <c r="I26" s="4">
        <v>0</v>
      </c>
      <c r="J26" s="4">
        <v>0</v>
      </c>
      <c r="K26" s="4">
        <v>0</v>
      </c>
      <c r="M26" s="4">
        <v>8.1979528699999998E-2</v>
      </c>
      <c r="N26" s="1" t="s">
        <v>13</v>
      </c>
      <c r="O26">
        <v>6.6264845232791745E-3</v>
      </c>
      <c r="P26">
        <v>3.9185258574960871E-3</v>
      </c>
      <c r="Q26">
        <v>1.1841978473597008E-2</v>
      </c>
      <c r="R26">
        <v>7.0026721845777339E-3</v>
      </c>
      <c r="S26">
        <v>1.1857433254347531E-2</v>
      </c>
      <c r="T26">
        <v>7.0118112624372089E-3</v>
      </c>
      <c r="U26">
        <v>2.119003958385629E-2</v>
      </c>
      <c r="V26">
        <v>1.2530583560408969E-2</v>
      </c>
      <c r="AC26" s="7"/>
    </row>
    <row r="27" spans="1:29">
      <c r="A27" s="7"/>
      <c r="B27" s="4">
        <v>0.72877765510598025</v>
      </c>
      <c r="C27" s="1" t="s">
        <v>14</v>
      </c>
      <c r="D27" s="4">
        <v>0</v>
      </c>
      <c r="E27" s="4">
        <v>0</v>
      </c>
      <c r="F27" s="4">
        <v>0</v>
      </c>
      <c r="G27" s="4">
        <v>0</v>
      </c>
      <c r="H27" s="4">
        <v>0</v>
      </c>
      <c r="I27" s="4">
        <v>0</v>
      </c>
      <c r="J27" s="4">
        <v>0</v>
      </c>
      <c r="K27" s="4">
        <v>0</v>
      </c>
      <c r="M27" s="4">
        <v>4.7122091300000002E-2</v>
      </c>
      <c r="N27" s="1" t="s">
        <v>14</v>
      </c>
      <c r="O27">
        <v>3.8089241747982661E-3</v>
      </c>
      <c r="P27">
        <v>2.2523810047024753E-3</v>
      </c>
      <c r="Q27">
        <v>6.8068065241935561E-3</v>
      </c>
      <c r="R27">
        <v>4.0251580273557054E-3</v>
      </c>
      <c r="S27">
        <v>6.8156899808454316E-3</v>
      </c>
      <c r="T27">
        <v>4.0304111980938289E-3</v>
      </c>
      <c r="U27">
        <v>1.218010149308275E-2</v>
      </c>
      <c r="V27">
        <v>7.2026188969279911E-3</v>
      </c>
      <c r="AC27" s="7"/>
    </row>
    <row r="28" spans="1:29">
      <c r="A28" s="7"/>
      <c r="B28" s="4">
        <v>9.2812690926586776E-3</v>
      </c>
      <c r="C28" s="1" t="s">
        <v>15</v>
      </c>
      <c r="D28" s="4">
        <v>0</v>
      </c>
      <c r="E28" s="4">
        <v>0</v>
      </c>
      <c r="F28" s="4">
        <v>0</v>
      </c>
      <c r="G28" s="4">
        <v>0</v>
      </c>
      <c r="H28" s="4">
        <v>0</v>
      </c>
      <c r="I28" s="4">
        <v>0</v>
      </c>
      <c r="J28" s="4">
        <v>0</v>
      </c>
      <c r="K28" s="4">
        <v>0</v>
      </c>
      <c r="M28" s="4">
        <v>0.1426834713</v>
      </c>
      <c r="N28" s="1" t="s">
        <v>15</v>
      </c>
      <c r="O28">
        <v>1.1533242863070989E-2</v>
      </c>
      <c r="P28">
        <v>6.8201035135537543E-3</v>
      </c>
      <c r="Q28">
        <v>2.0610689308252838E-2</v>
      </c>
      <c r="R28">
        <v>1.2187988776172429E-2</v>
      </c>
      <c r="S28">
        <v>2.0637587996262311E-2</v>
      </c>
      <c r="T28">
        <v>1.2203895129552949E-2</v>
      </c>
      <c r="U28">
        <v>3.6880773197333877E-2</v>
      </c>
      <c r="V28">
        <v>2.180919051580087E-2</v>
      </c>
      <c r="AC28" s="7"/>
    </row>
    <row r="29" spans="1:29">
      <c r="A29" s="7"/>
      <c r="B29" s="4">
        <v>8.0922724047565453E-2</v>
      </c>
      <c r="C29" s="1" t="s">
        <v>16</v>
      </c>
      <c r="D29" s="4">
        <v>0</v>
      </c>
      <c r="E29" s="4">
        <v>0</v>
      </c>
      <c r="F29" s="4">
        <v>0</v>
      </c>
      <c r="G29" s="4">
        <v>0</v>
      </c>
      <c r="H29" s="4">
        <v>0</v>
      </c>
      <c r="I29" s="4">
        <v>0</v>
      </c>
      <c r="J29" s="4">
        <v>0</v>
      </c>
      <c r="K29" s="4">
        <v>0</v>
      </c>
      <c r="M29" s="4">
        <v>8.20149087E-2</v>
      </c>
      <c r="N29" s="1" t="s">
        <v>16</v>
      </c>
      <c r="O29">
        <v>6.6293443228675761E-3</v>
      </c>
      <c r="P29">
        <v>3.9202169802316856E-3</v>
      </c>
      <c r="Q29">
        <v>1.1847089129940607E-2</v>
      </c>
      <c r="R29">
        <v>7.0056943359101355E-3</v>
      </c>
      <c r="S29">
        <v>1.186255058052873E-2</v>
      </c>
      <c r="T29">
        <v>7.0148373579320099E-3</v>
      </c>
      <c r="U29">
        <v>2.1199184593743092E-2</v>
      </c>
      <c r="V29">
        <v>1.2535991398846168E-2</v>
      </c>
      <c r="AC29" s="7"/>
    </row>
    <row r="30" spans="1:29">
      <c r="A30" s="7"/>
      <c r="B30" s="4">
        <v>9.023123155668349E-3</v>
      </c>
      <c r="C30" s="1" t="s">
        <v>17</v>
      </c>
      <c r="D30" s="4">
        <v>0</v>
      </c>
      <c r="E30" s="4">
        <v>0</v>
      </c>
      <c r="F30" s="4">
        <v>0</v>
      </c>
      <c r="G30" s="4">
        <v>0</v>
      </c>
      <c r="H30" s="4">
        <v>0</v>
      </c>
      <c r="I30" s="4">
        <v>0</v>
      </c>
      <c r="J30" s="4">
        <v>0</v>
      </c>
      <c r="K30" s="4">
        <v>0</v>
      </c>
      <c r="M30" s="4">
        <v>0.14973197130000002</v>
      </c>
      <c r="N30" s="1" t="s">
        <v>17</v>
      </c>
      <c r="O30">
        <v>1.2102979929177511E-2</v>
      </c>
      <c r="P30">
        <v>7.1570135927472352E-3</v>
      </c>
      <c r="Q30">
        <v>2.1628848190046318E-2</v>
      </c>
      <c r="R30">
        <v>1.2790069999078949E-2</v>
      </c>
      <c r="S30">
        <v>2.1657075661275792E-2</v>
      </c>
      <c r="T30">
        <v>1.280676211923947E-2</v>
      </c>
      <c r="U30">
        <v>3.8702666984420403E-2</v>
      </c>
      <c r="V30">
        <v>2.288655482401435E-2</v>
      </c>
      <c r="AC30" s="7"/>
    </row>
    <row r="31" spans="1:29">
      <c r="A31" s="7"/>
      <c r="B31" s="4">
        <v>7.8671968012532276E-2</v>
      </c>
      <c r="C31" s="1" t="s">
        <v>18</v>
      </c>
      <c r="D31" s="4">
        <v>0</v>
      </c>
      <c r="E31" s="4">
        <v>0</v>
      </c>
      <c r="F31" s="4">
        <v>0</v>
      </c>
      <c r="G31" s="4">
        <v>0</v>
      </c>
      <c r="H31" s="4">
        <v>0</v>
      </c>
      <c r="I31" s="4">
        <v>0</v>
      </c>
      <c r="J31" s="4">
        <v>0</v>
      </c>
      <c r="K31" s="4">
        <v>0</v>
      </c>
      <c r="M31" s="4">
        <v>8.6066408699999999E-2</v>
      </c>
      <c r="N31" s="1" t="s">
        <v>18</v>
      </c>
      <c r="O31">
        <v>6.9568309829130563E-3</v>
      </c>
      <c r="P31">
        <v>4.1138739548862054E-3</v>
      </c>
      <c r="Q31">
        <v>1.2432330061995126E-2</v>
      </c>
      <c r="R31">
        <v>7.3517725191556155E-3</v>
      </c>
      <c r="S31">
        <v>1.244855530136325E-2</v>
      </c>
      <c r="T31">
        <v>7.36136720239749E-3</v>
      </c>
      <c r="U31">
        <v>2.2246414880808574E-2</v>
      </c>
      <c r="V31">
        <v>1.3155263796480687E-2</v>
      </c>
      <c r="AC31" s="7"/>
    </row>
    <row r="32" spans="1:29">
      <c r="A32" s="7"/>
      <c r="B32" s="4">
        <v>1.0019183492490096E-3</v>
      </c>
      <c r="C32" s="1" t="s">
        <v>19</v>
      </c>
      <c r="D32" s="4">
        <v>0</v>
      </c>
      <c r="E32" s="4">
        <v>0</v>
      </c>
      <c r="F32" s="4">
        <v>0</v>
      </c>
      <c r="G32" s="4">
        <v>0</v>
      </c>
      <c r="H32" s="4">
        <v>0</v>
      </c>
      <c r="I32" s="4">
        <v>0</v>
      </c>
      <c r="J32" s="4">
        <v>0</v>
      </c>
      <c r="K32" s="4">
        <v>0</v>
      </c>
      <c r="M32" s="4">
        <v>0.26060502870000002</v>
      </c>
      <c r="N32" s="1" t="s">
        <v>19</v>
      </c>
      <c r="O32">
        <v>2.1064956297672341E-2</v>
      </c>
      <c r="P32">
        <v>1.245661642300293E-2</v>
      </c>
      <c r="Q32">
        <v>3.7644509414903854E-2</v>
      </c>
      <c r="R32">
        <v>2.2260820653370896E-2</v>
      </c>
      <c r="S32">
        <v>3.7693638674914376E-2</v>
      </c>
      <c r="T32">
        <v>2.2289872901970369E-2</v>
      </c>
      <c r="U32">
        <v>6.7361095647589464E-2</v>
      </c>
      <c r="V32">
        <v>3.9833518686575808E-2</v>
      </c>
      <c r="AC32" s="7"/>
    </row>
    <row r="33" spans="1:29">
      <c r="A33" s="7"/>
      <c r="B33" s="4">
        <v>8.7356547132763536E-3</v>
      </c>
      <c r="C33" s="1" t="s">
        <v>20</v>
      </c>
      <c r="D33" s="4">
        <v>0</v>
      </c>
      <c r="E33" s="4">
        <v>0</v>
      </c>
      <c r="F33" s="4">
        <v>0</v>
      </c>
      <c r="G33" s="4">
        <v>0</v>
      </c>
      <c r="H33" s="4">
        <v>0</v>
      </c>
      <c r="I33" s="4">
        <v>0</v>
      </c>
      <c r="J33" s="4">
        <v>0</v>
      </c>
      <c r="K33" s="4">
        <v>0</v>
      </c>
      <c r="M33" s="4">
        <v>0.1497965913</v>
      </c>
      <c r="N33" s="1" t="s">
        <v>20</v>
      </c>
      <c r="O33">
        <v>1.2108203226221107E-2</v>
      </c>
      <c r="P33">
        <v>7.1601023533796361E-3</v>
      </c>
      <c r="Q33">
        <v>2.1638182577070716E-2</v>
      </c>
      <c r="R33">
        <v>1.2795589824378546E-2</v>
      </c>
      <c r="S33">
        <v>2.1666422230462595E-2</v>
      </c>
      <c r="T33">
        <v>1.2812289148376668E-2</v>
      </c>
      <c r="U33">
        <v>3.8719369939165596E-2</v>
      </c>
      <c r="V33">
        <v>2.2896432000945151E-2</v>
      </c>
      <c r="AC33" s="7"/>
    </row>
    <row r="34" spans="1:29">
      <c r="A34" s="7"/>
      <c r="X34" t="s">
        <v>86</v>
      </c>
      <c r="AC34" s="7"/>
    </row>
    <row r="35" spans="1:29">
      <c r="A35" s="7"/>
      <c r="C35" s="1" t="s">
        <v>27</v>
      </c>
      <c r="D35" s="4">
        <v>0</v>
      </c>
      <c r="E35" s="4">
        <v>0</v>
      </c>
      <c r="F35" s="4">
        <v>0</v>
      </c>
      <c r="G35" s="4">
        <v>0</v>
      </c>
      <c r="H35" s="4">
        <v>0</v>
      </c>
      <c r="I35" s="4">
        <v>0</v>
      </c>
      <c r="J35" s="4">
        <v>0</v>
      </c>
      <c r="K35" s="4">
        <v>0</v>
      </c>
      <c r="P35" t="s">
        <v>63</v>
      </c>
      <c r="AA35" t="s">
        <v>44</v>
      </c>
      <c r="AC35" s="7"/>
    </row>
    <row r="36" spans="1:29">
      <c r="A36" s="7"/>
      <c r="C36" s="1"/>
      <c r="D36" s="1" t="s">
        <v>13</v>
      </c>
      <c r="E36" s="1" t="s">
        <v>14</v>
      </c>
      <c r="F36" s="1" t="s">
        <v>15</v>
      </c>
      <c r="G36" s="1" t="s">
        <v>16</v>
      </c>
      <c r="H36" s="1" t="s">
        <v>17</v>
      </c>
      <c r="I36" s="1" t="s">
        <v>18</v>
      </c>
      <c r="J36" s="1" t="s">
        <v>19</v>
      </c>
      <c r="K36" s="1" t="s">
        <v>20</v>
      </c>
      <c r="L36" s="1"/>
      <c r="O36" s="1" t="s">
        <v>13</v>
      </c>
      <c r="P36" s="1" t="s">
        <v>14</v>
      </c>
      <c r="Q36" s="1" t="s">
        <v>15</v>
      </c>
      <c r="R36" s="1" t="s">
        <v>16</v>
      </c>
      <c r="S36" s="1" t="s">
        <v>17</v>
      </c>
      <c r="T36" s="1" t="s">
        <v>18</v>
      </c>
      <c r="U36" s="1" t="s">
        <v>19</v>
      </c>
      <c r="V36" s="1" t="s">
        <v>20</v>
      </c>
      <c r="X36" s="1" t="s">
        <v>47</v>
      </c>
      <c r="Y36" s="1" t="s">
        <v>48</v>
      </c>
      <c r="Z36" s="1" t="s">
        <v>66</v>
      </c>
      <c r="AC36" s="7"/>
    </row>
    <row r="37" spans="1:29">
      <c r="A37" s="7"/>
      <c r="B37" s="4">
        <v>8.0922724047565453E-2</v>
      </c>
      <c r="C37" s="1" t="s">
        <v>13</v>
      </c>
      <c r="D37" s="4">
        <v>0</v>
      </c>
      <c r="E37" s="4">
        <v>0</v>
      </c>
      <c r="F37" s="4">
        <v>0</v>
      </c>
      <c r="G37" s="4">
        <v>0</v>
      </c>
      <c r="H37" s="4">
        <v>0</v>
      </c>
      <c r="I37" s="4">
        <v>0</v>
      </c>
      <c r="J37" s="4">
        <v>0</v>
      </c>
      <c r="K37" s="4">
        <v>0</v>
      </c>
      <c r="N37" s="1" t="s">
        <v>13</v>
      </c>
      <c r="O37" s="5">
        <v>66.264845232791743</v>
      </c>
      <c r="P37" s="5">
        <v>39.185258574960869</v>
      </c>
      <c r="Q37" s="5">
        <v>118.41978473597008</v>
      </c>
      <c r="R37" s="5">
        <v>70.026721845777345</v>
      </c>
      <c r="S37" s="5">
        <v>118.57433254347531</v>
      </c>
      <c r="T37" s="5">
        <v>70.118112624372088</v>
      </c>
      <c r="U37" s="5">
        <v>211.9003958385629</v>
      </c>
      <c r="V37" s="5">
        <v>125.30583560408969</v>
      </c>
      <c r="X37">
        <v>819.79528700000003</v>
      </c>
      <c r="Y37">
        <v>66.264845232791743</v>
      </c>
      <c r="Z37">
        <v>753.53044176720823</v>
      </c>
      <c r="AA37">
        <v>40575.532446107609</v>
      </c>
      <c r="AB37">
        <v>2.2889288843254429</v>
      </c>
      <c r="AC37" s="7"/>
    </row>
    <row r="38" spans="1:29">
      <c r="A38" s="7"/>
      <c r="B38" s="4">
        <v>9.2812690926586776E-3</v>
      </c>
      <c r="C38" s="1" t="s">
        <v>14</v>
      </c>
      <c r="D38" s="4">
        <v>0</v>
      </c>
      <c r="E38" s="4">
        <v>0</v>
      </c>
      <c r="F38" s="4">
        <v>0</v>
      </c>
      <c r="G38" s="4">
        <v>0</v>
      </c>
      <c r="H38" s="4">
        <v>0</v>
      </c>
      <c r="I38" s="4">
        <v>0</v>
      </c>
      <c r="J38" s="4">
        <v>0</v>
      </c>
      <c r="K38" s="4">
        <v>0</v>
      </c>
      <c r="N38" s="1" t="s">
        <v>14</v>
      </c>
      <c r="O38" s="5">
        <v>38.089241747982662</v>
      </c>
      <c r="P38" s="5">
        <v>22.523810047024753</v>
      </c>
      <c r="Q38" s="5">
        <v>68.068065241935557</v>
      </c>
      <c r="R38" s="5">
        <v>40.251580273557053</v>
      </c>
      <c r="S38" s="5">
        <v>68.156899808454313</v>
      </c>
      <c r="T38" s="5">
        <v>40.304111980938288</v>
      </c>
      <c r="U38" s="5">
        <v>121.80101493082751</v>
      </c>
      <c r="V38" s="5">
        <v>72.026188969279914</v>
      </c>
      <c r="X38">
        <v>471.22091300000011</v>
      </c>
      <c r="Y38">
        <v>22.523810047024753</v>
      </c>
      <c r="Z38">
        <v>448.69710295297534</v>
      </c>
      <c r="AA38">
        <v>0.55129381847867376</v>
      </c>
      <c r="AB38">
        <v>70.37322102164228</v>
      </c>
      <c r="AC38" s="7"/>
    </row>
    <row r="39" spans="1:29">
      <c r="A39" s="7"/>
      <c r="B39" s="4">
        <v>0.72877765510598025</v>
      </c>
      <c r="C39" s="1" t="s">
        <v>15</v>
      </c>
      <c r="D39" s="4">
        <v>0</v>
      </c>
      <c r="E39" s="4">
        <v>0</v>
      </c>
      <c r="F39" s="4">
        <v>0</v>
      </c>
      <c r="G39" s="4">
        <v>0</v>
      </c>
      <c r="H39" s="4">
        <v>0</v>
      </c>
      <c r="I39" s="4">
        <v>0</v>
      </c>
      <c r="J39" s="4">
        <v>0</v>
      </c>
      <c r="K39" s="4">
        <v>0</v>
      </c>
      <c r="N39" s="1" t="s">
        <v>15</v>
      </c>
      <c r="O39" s="5">
        <v>115.33242863070988</v>
      </c>
      <c r="P39" s="5">
        <v>68.201035135537538</v>
      </c>
      <c r="Q39" s="5">
        <v>206.10689308252839</v>
      </c>
      <c r="R39" s="5">
        <v>121.87988776172429</v>
      </c>
      <c r="S39" s="5">
        <v>206.37587996262312</v>
      </c>
      <c r="T39" s="5">
        <v>122.03895129552949</v>
      </c>
      <c r="U39" s="5">
        <v>368.80773197333878</v>
      </c>
      <c r="V39" s="5">
        <v>218.0919051580087</v>
      </c>
      <c r="X39">
        <v>1426.8347130000002</v>
      </c>
      <c r="Y39">
        <v>206.10689308252839</v>
      </c>
      <c r="Z39">
        <v>1220.7278199174718</v>
      </c>
      <c r="AA39">
        <v>135.48655893092371</v>
      </c>
      <c r="AB39">
        <v>432.6380669179033</v>
      </c>
      <c r="AC39" s="7"/>
    </row>
    <row r="40" spans="1:29">
      <c r="A40" s="7"/>
      <c r="B40" s="4">
        <v>8.3585687523069635E-2</v>
      </c>
      <c r="C40" s="1" t="s">
        <v>16</v>
      </c>
      <c r="D40" s="4">
        <v>0</v>
      </c>
      <c r="E40" s="4">
        <v>0</v>
      </c>
      <c r="F40" s="4">
        <v>0</v>
      </c>
      <c r="G40" s="4">
        <v>0</v>
      </c>
      <c r="H40" s="4">
        <v>0</v>
      </c>
      <c r="I40" s="4">
        <v>0</v>
      </c>
      <c r="J40" s="4">
        <v>0</v>
      </c>
      <c r="K40" s="4">
        <v>0</v>
      </c>
      <c r="N40" s="1" t="s">
        <v>16</v>
      </c>
      <c r="O40" s="5">
        <v>66.293443228675756</v>
      </c>
      <c r="P40" s="5">
        <v>39.202169802316853</v>
      </c>
      <c r="Q40" s="5">
        <v>118.47089129940606</v>
      </c>
      <c r="R40" s="5">
        <v>70.056943359101354</v>
      </c>
      <c r="S40" s="5">
        <v>118.6255058052873</v>
      </c>
      <c r="T40" s="5">
        <v>70.148373579320094</v>
      </c>
      <c r="U40" s="5">
        <v>211.99184593743092</v>
      </c>
      <c r="V40" s="5">
        <v>125.35991398846167</v>
      </c>
      <c r="X40">
        <v>820.14908700000001</v>
      </c>
      <c r="Y40">
        <v>70.056943359101354</v>
      </c>
      <c r="Z40">
        <v>750.09214364089871</v>
      </c>
      <c r="AA40">
        <v>26.462764182074682</v>
      </c>
      <c r="AB40">
        <v>307.28020329200785</v>
      </c>
      <c r="AC40" s="7"/>
    </row>
    <row r="41" spans="1:29">
      <c r="A41" s="7"/>
      <c r="B41" s="4">
        <v>8.7356547132763536E-3</v>
      </c>
      <c r="C41" s="1" t="s">
        <v>17</v>
      </c>
      <c r="D41" s="4">
        <v>0</v>
      </c>
      <c r="E41" s="4">
        <v>0</v>
      </c>
      <c r="F41" s="4">
        <v>0</v>
      </c>
      <c r="G41" s="4">
        <v>0</v>
      </c>
      <c r="H41" s="4">
        <v>0</v>
      </c>
      <c r="I41" s="4">
        <v>0</v>
      </c>
      <c r="J41" s="4">
        <v>0</v>
      </c>
      <c r="K41" s="4">
        <v>0</v>
      </c>
      <c r="N41" s="1" t="s">
        <v>17</v>
      </c>
      <c r="O41" s="5">
        <v>121.02979929177511</v>
      </c>
      <c r="P41" s="5">
        <v>71.57013592747235</v>
      </c>
      <c r="Q41" s="5">
        <v>216.28848190046318</v>
      </c>
      <c r="R41" s="5">
        <v>127.90069999078949</v>
      </c>
      <c r="S41" s="5">
        <v>216.57075661275792</v>
      </c>
      <c r="T41" s="5">
        <v>128.06762119239471</v>
      </c>
      <c r="U41" s="5">
        <v>387.02666984420404</v>
      </c>
      <c r="V41" s="5">
        <v>228.86554824014351</v>
      </c>
      <c r="X41">
        <v>1497.3197130000001</v>
      </c>
      <c r="Y41">
        <v>216.57075661275792</v>
      </c>
      <c r="Z41">
        <v>1280.7489563872423</v>
      </c>
      <c r="AA41">
        <v>123.54111347872514</v>
      </c>
      <c r="AB41">
        <v>448.31852334716791</v>
      </c>
      <c r="AC41" s="7"/>
    </row>
    <row r="42" spans="1:29">
      <c r="A42" s="7"/>
      <c r="B42" s="4">
        <v>1.0019183492490096E-3</v>
      </c>
      <c r="C42" s="1" t="s">
        <v>18</v>
      </c>
      <c r="D42" s="4">
        <v>0</v>
      </c>
      <c r="E42" s="4">
        <v>0</v>
      </c>
      <c r="F42" s="4">
        <v>0</v>
      </c>
      <c r="G42" s="4">
        <v>0</v>
      </c>
      <c r="H42" s="4">
        <v>0</v>
      </c>
      <c r="I42" s="4">
        <v>0</v>
      </c>
      <c r="J42" s="4">
        <v>0</v>
      </c>
      <c r="K42" s="4">
        <v>0</v>
      </c>
      <c r="N42" s="1" t="s">
        <v>18</v>
      </c>
      <c r="O42" s="5">
        <v>69.56830982913057</v>
      </c>
      <c r="P42" s="5">
        <v>41.138739548862056</v>
      </c>
      <c r="Q42" s="5">
        <v>124.32330061995127</v>
      </c>
      <c r="R42" s="5">
        <v>73.517725191556153</v>
      </c>
      <c r="S42" s="5">
        <v>124.4855530136325</v>
      </c>
      <c r="T42" s="5">
        <v>73.6136720239749</v>
      </c>
      <c r="U42" s="5">
        <v>222.46414880808575</v>
      </c>
      <c r="V42" s="5">
        <v>131.55263796480688</v>
      </c>
      <c r="X42">
        <v>860.66408700000011</v>
      </c>
      <c r="Y42">
        <v>73.6136720239749</v>
      </c>
      <c r="Z42">
        <v>787.05041497602519</v>
      </c>
      <c r="AA42">
        <v>28.263867543968285</v>
      </c>
      <c r="AB42">
        <v>257.34739753140508</v>
      </c>
      <c r="AC42" s="7"/>
    </row>
    <row r="43" spans="1:29">
      <c r="A43" s="7"/>
      <c r="B43" s="4">
        <v>7.8671968012532276E-2</v>
      </c>
      <c r="C43" s="1" t="s">
        <v>19</v>
      </c>
      <c r="D43" s="4">
        <v>0</v>
      </c>
      <c r="E43" s="4">
        <v>0</v>
      </c>
      <c r="F43" s="4">
        <v>0</v>
      </c>
      <c r="G43" s="4">
        <v>0</v>
      </c>
      <c r="H43" s="4">
        <v>0</v>
      </c>
      <c r="I43" s="4">
        <v>0</v>
      </c>
      <c r="J43" s="4">
        <v>0</v>
      </c>
      <c r="K43" s="4">
        <v>0</v>
      </c>
      <c r="N43" s="1" t="s">
        <v>19</v>
      </c>
      <c r="O43" s="5">
        <v>210.64956297672342</v>
      </c>
      <c r="P43" s="5">
        <v>124.5661642300293</v>
      </c>
      <c r="Q43" s="5">
        <v>376.44509414903854</v>
      </c>
      <c r="R43" s="5">
        <v>222.60820653370897</v>
      </c>
      <c r="S43" s="5">
        <v>376.93638674914376</v>
      </c>
      <c r="T43" s="5">
        <v>222.89872901970369</v>
      </c>
      <c r="U43" s="5">
        <v>673.61095647589468</v>
      </c>
      <c r="V43" s="5">
        <v>398.33518686575809</v>
      </c>
      <c r="X43">
        <v>2606.0502870000009</v>
      </c>
      <c r="Y43">
        <v>673.61095647589468</v>
      </c>
      <c r="Z43">
        <v>1932.4393305241063</v>
      </c>
      <c r="AA43">
        <v>2107.1626572927876</v>
      </c>
      <c r="AB43">
        <v>491.36446038631453</v>
      </c>
      <c r="AC43" s="7"/>
    </row>
    <row r="44" spans="1:29">
      <c r="A44" s="7"/>
      <c r="B44" s="4">
        <v>9.023123155668349E-3</v>
      </c>
      <c r="C44" s="1" t="s">
        <v>20</v>
      </c>
      <c r="D44" s="4">
        <v>0</v>
      </c>
      <c r="E44" s="4">
        <v>0</v>
      </c>
      <c r="F44" s="4">
        <v>0</v>
      </c>
      <c r="G44" s="4">
        <v>0</v>
      </c>
      <c r="H44" s="4">
        <v>0</v>
      </c>
      <c r="I44" s="4">
        <v>0</v>
      </c>
      <c r="J44" s="4">
        <v>0</v>
      </c>
      <c r="K44" s="4">
        <v>0</v>
      </c>
      <c r="N44" s="1" t="s">
        <v>20</v>
      </c>
      <c r="O44" s="5">
        <v>121.08203226221107</v>
      </c>
      <c r="P44" s="5">
        <v>71.601023533796365</v>
      </c>
      <c r="Q44" s="5">
        <v>216.38182577070717</v>
      </c>
      <c r="R44" s="5">
        <v>127.95589824378546</v>
      </c>
      <c r="S44" s="5">
        <v>216.66422230462595</v>
      </c>
      <c r="T44" s="5">
        <v>128.12289148376667</v>
      </c>
      <c r="U44" s="5">
        <v>387.19369939165597</v>
      </c>
      <c r="V44" s="5">
        <v>228.96432000945151</v>
      </c>
      <c r="X44">
        <v>1497.965913</v>
      </c>
      <c r="Y44">
        <v>228.96432000945151</v>
      </c>
      <c r="Z44">
        <v>1269.0015929905485</v>
      </c>
      <c r="AA44">
        <v>10656.487724649916</v>
      </c>
      <c r="AB44">
        <v>103.26634265199914</v>
      </c>
      <c r="AC44" s="7"/>
    </row>
    <row r="45" spans="1:29">
      <c r="A45" s="7"/>
      <c r="X45" s="9">
        <v>10000</v>
      </c>
      <c r="Y45" s="9">
        <v>1557.7121968435254</v>
      </c>
      <c r="Z45" s="9">
        <v>8442.287803156476</v>
      </c>
      <c r="AA45" s="9">
        <v>53653.488426004486</v>
      </c>
      <c r="AB45" s="9">
        <v>2112.8771440327655</v>
      </c>
      <c r="AC45" s="7"/>
    </row>
    <row r="46" spans="1:29">
      <c r="A46" s="7"/>
      <c r="C46" s="1" t="s">
        <v>28</v>
      </c>
      <c r="D46" s="4">
        <v>1.2414288830279524E-5</v>
      </c>
      <c r="E46" s="4">
        <v>1.0823929995242826E-4</v>
      </c>
      <c r="F46" s="4">
        <v>1.1180118328964805E-4</v>
      </c>
      <c r="G46" s="4">
        <v>9.7478655270276545E-4</v>
      </c>
      <c r="H46" s="4">
        <v>1.3401296361262065E-6</v>
      </c>
      <c r="I46" s="4">
        <v>1.1684494830344374E-5</v>
      </c>
      <c r="J46" s="4">
        <v>1.2069002190040213E-5</v>
      </c>
      <c r="K46" s="4">
        <v>1.052287703334241E-4</v>
      </c>
      <c r="P46" t="s">
        <v>70</v>
      </c>
      <c r="AB46" s="21">
        <v>55766.365570037247</v>
      </c>
      <c r="AC46" s="7"/>
    </row>
    <row r="47" spans="1:29">
      <c r="A47" s="7"/>
      <c r="C47" s="1"/>
      <c r="D47" s="1" t="s">
        <v>13</v>
      </c>
      <c r="E47" s="1" t="s">
        <v>14</v>
      </c>
      <c r="F47" s="1" t="s">
        <v>15</v>
      </c>
      <c r="G47" s="1" t="s">
        <v>16</v>
      </c>
      <c r="H47" s="1" t="s">
        <v>17</v>
      </c>
      <c r="I47" s="1" t="s">
        <v>18</v>
      </c>
      <c r="J47" s="1" t="s">
        <v>19</v>
      </c>
      <c r="K47" s="1" t="s">
        <v>20</v>
      </c>
      <c r="L47" s="1"/>
      <c r="O47" s="1" t="s">
        <v>13</v>
      </c>
      <c r="P47" s="1" t="s">
        <v>14</v>
      </c>
      <c r="Q47" s="1" t="s">
        <v>15</v>
      </c>
      <c r="R47" s="1" t="s">
        <v>16</v>
      </c>
      <c r="S47" s="1" t="s">
        <v>17</v>
      </c>
      <c r="T47" s="1" t="s">
        <v>18</v>
      </c>
      <c r="U47" s="1" t="s">
        <v>19</v>
      </c>
      <c r="V47" s="1" t="s">
        <v>20</v>
      </c>
      <c r="Z47" t="s">
        <v>68</v>
      </c>
      <c r="AC47" s="7"/>
    </row>
    <row r="48" spans="1:29">
      <c r="A48" s="7"/>
      <c r="B48" s="4">
        <v>9.2812690926586776E-3</v>
      </c>
      <c r="C48" s="1" t="s">
        <v>13</v>
      </c>
      <c r="D48" s="4">
        <v>1.152203552278112E-7</v>
      </c>
      <c r="E48" s="4">
        <v>1.0045980692594843E-6</v>
      </c>
      <c r="F48" s="4">
        <v>1.0376568669888782E-6</v>
      </c>
      <c r="G48" s="4">
        <v>9.0472563035394763E-6</v>
      </c>
      <c r="H48" s="4">
        <v>1.243810377193408E-8</v>
      </c>
      <c r="I48" s="4">
        <v>1.0844694073220534E-7</v>
      </c>
      <c r="J48" s="4">
        <v>1.1201565700565012E-7</v>
      </c>
      <c r="K48" s="4">
        <v>9.7665653375408747E-7</v>
      </c>
      <c r="N48" s="1" t="s">
        <v>13</v>
      </c>
      <c r="O48">
        <v>40575.532446107609</v>
      </c>
      <c r="P48">
        <v>890.63461319111843</v>
      </c>
      <c r="Q48">
        <v>53.479329282598201</v>
      </c>
      <c r="R48">
        <v>30.25215329276908</v>
      </c>
      <c r="S48">
        <v>55.915468200587192</v>
      </c>
      <c r="T48">
        <v>37.266568372659322</v>
      </c>
      <c r="U48">
        <v>144.36097839001306</v>
      </c>
      <c r="V48">
        <v>109.81658595894316</v>
      </c>
      <c r="W48" s="7">
        <v>41897.258142796301</v>
      </c>
      <c r="Z48" t="s">
        <v>67</v>
      </c>
      <c r="AC48" s="7"/>
    </row>
    <row r="49" spans="1:29">
      <c r="A49" s="7"/>
      <c r="B49" s="4">
        <v>8.0922724047565453E-2</v>
      </c>
      <c r="C49" s="1" t="s">
        <v>14</v>
      </c>
      <c r="D49" s="4">
        <v>1.0045980692594841E-6</v>
      </c>
      <c r="E49" s="4">
        <v>8.7590190011520163E-6</v>
      </c>
      <c r="F49" s="4">
        <v>9.0472563035394746E-6</v>
      </c>
      <c r="G49" s="4">
        <v>7.888238320964351E-5</v>
      </c>
      <c r="H49" s="4">
        <v>1.0844694073220531E-7</v>
      </c>
      <c r="I49" s="4">
        <v>9.4554115079116284E-7</v>
      </c>
      <c r="J49" s="4">
        <v>9.7665653375408726E-7</v>
      </c>
      <c r="K49" s="4">
        <v>8.5153987435563203E-6</v>
      </c>
      <c r="N49" s="1" t="s">
        <v>14</v>
      </c>
      <c r="O49">
        <v>506.6049591069214</v>
      </c>
      <c r="P49">
        <v>0.55129381847867376</v>
      </c>
      <c r="Q49">
        <v>20.18628641634826</v>
      </c>
      <c r="R49">
        <v>24.263923626277847</v>
      </c>
      <c r="S49">
        <v>27.326917836804743</v>
      </c>
      <c r="T49">
        <v>30.924396085245654</v>
      </c>
      <c r="U49">
        <v>104.46603401992131</v>
      </c>
      <c r="V49">
        <v>45.150052708564601</v>
      </c>
      <c r="W49" s="7">
        <v>759.47386361856252</v>
      </c>
      <c r="Z49" t="s">
        <v>69</v>
      </c>
      <c r="AB49">
        <v>12</v>
      </c>
      <c r="AC49" s="7"/>
    </row>
    <row r="50" spans="1:29">
      <c r="A50" s="7"/>
      <c r="B50" s="4">
        <v>8.3585687523069635E-2</v>
      </c>
      <c r="C50" s="1" t="s">
        <v>15</v>
      </c>
      <c r="D50" s="4">
        <v>1.037656866988878E-6</v>
      </c>
      <c r="E50" s="4">
        <v>9.0472563035394746E-6</v>
      </c>
      <c r="F50" s="4">
        <v>9.344978771157956E-6</v>
      </c>
      <c r="G50" s="4">
        <v>8.1478204195903602E-5</v>
      </c>
      <c r="H50" s="4">
        <v>1.1201565700565011E-7</v>
      </c>
      <c r="I50" s="4">
        <v>9.7665653375408747E-7</v>
      </c>
      <c r="J50" s="4">
        <v>1.0087958457719444E-6</v>
      </c>
      <c r="K50" s="4">
        <v>8.7956191155264472E-6</v>
      </c>
      <c r="N50" s="1" t="s">
        <v>15</v>
      </c>
      <c r="O50">
        <v>24.973099507859729</v>
      </c>
      <c r="P50">
        <v>29.957515648607547</v>
      </c>
      <c r="Q50">
        <v>135.48655893092371</v>
      </c>
      <c r="R50">
        <v>106.40499490758187</v>
      </c>
      <c r="S50">
        <v>132.52121167631199</v>
      </c>
      <c r="T50">
        <v>101.03043801936234</v>
      </c>
      <c r="U50">
        <v>71.870395581128079</v>
      </c>
      <c r="V50">
        <v>152.03435404927333</v>
      </c>
      <c r="W50" s="7">
        <v>754.27856832104862</v>
      </c>
      <c r="AC50" s="7"/>
    </row>
    <row r="51" spans="1:29">
      <c r="A51" s="7"/>
      <c r="B51" s="4">
        <v>0.72877765510598025</v>
      </c>
      <c r="C51" s="1" t="s">
        <v>16</v>
      </c>
      <c r="D51" s="4">
        <v>9.0472563035394746E-6</v>
      </c>
      <c r="E51" s="4">
        <v>7.888238320964351E-5</v>
      </c>
      <c r="F51" s="4">
        <v>8.1478204195903602E-5</v>
      </c>
      <c r="G51" s="4">
        <v>7.1040265810756341E-4</v>
      </c>
      <c r="H51" s="4">
        <v>9.7665653375408726E-7</v>
      </c>
      <c r="I51" s="4">
        <v>8.5153987435563219E-6</v>
      </c>
      <c r="J51" s="4">
        <v>8.7956191155264472E-6</v>
      </c>
      <c r="K51" s="4">
        <v>7.6688376493278551E-5</v>
      </c>
      <c r="N51" s="1" t="s">
        <v>16</v>
      </c>
      <c r="O51">
        <v>35.180804394732242</v>
      </c>
      <c r="P51">
        <v>35.304204970782543</v>
      </c>
      <c r="Q51">
        <v>101.15460355236188</v>
      </c>
      <c r="R51">
        <v>26.462764182074682</v>
      </c>
      <c r="S51">
        <v>106.92898185586861</v>
      </c>
      <c r="T51">
        <v>33.048034616403413</v>
      </c>
      <c r="U51">
        <v>142.80342868305311</v>
      </c>
      <c r="V51">
        <v>19.656507896613</v>
      </c>
      <c r="W51" s="7">
        <v>500.53933015188954</v>
      </c>
      <c r="AC51" s="7"/>
    </row>
    <row r="52" spans="1:29">
      <c r="A52" s="7"/>
      <c r="B52" s="4">
        <v>1.0019183492490096E-3</v>
      </c>
      <c r="C52" s="1" t="s">
        <v>17</v>
      </c>
      <c r="D52" s="4">
        <v>1.243810377193408E-8</v>
      </c>
      <c r="E52" s="4">
        <v>1.0844694073220532E-7</v>
      </c>
      <c r="F52" s="4">
        <v>1.1201565700565012E-7</v>
      </c>
      <c r="G52" s="4">
        <v>9.7665653375408747E-7</v>
      </c>
      <c r="H52" s="4">
        <v>1.3427004728072446E-9</v>
      </c>
      <c r="I52" s="4">
        <v>1.170690977222722E-8</v>
      </c>
      <c r="J52" s="4">
        <v>1.2092154751327773E-8</v>
      </c>
      <c r="K52" s="4">
        <v>1.0543063586596743E-7</v>
      </c>
      <c r="N52" s="1" t="s">
        <v>17</v>
      </c>
      <c r="O52">
        <v>55.516193891625228</v>
      </c>
      <c r="P52">
        <v>43.147046837064934</v>
      </c>
      <c r="Q52">
        <v>143.68600943378937</v>
      </c>
      <c r="R52">
        <v>114.28380970014626</v>
      </c>
      <c r="S52">
        <v>123.54111347872514</v>
      </c>
      <c r="T52">
        <v>108.848458683315</v>
      </c>
      <c r="U52">
        <v>88.456096752756565</v>
      </c>
      <c r="V52">
        <v>147.71353788109732</v>
      </c>
      <c r="W52" s="7">
        <v>825.19226665851988</v>
      </c>
      <c r="AC52" s="7"/>
    </row>
    <row r="53" spans="1:29">
      <c r="A53" s="7"/>
      <c r="B53" s="4">
        <v>8.7356547132763536E-3</v>
      </c>
      <c r="C53" s="1" t="s">
        <v>18</v>
      </c>
      <c r="D53" s="4">
        <v>1.0844694073220532E-7</v>
      </c>
      <c r="E53" s="4">
        <v>9.4554115079116294E-7</v>
      </c>
      <c r="F53" s="4">
        <v>9.7665653375408747E-7</v>
      </c>
      <c r="G53" s="4">
        <v>8.5153987435563219E-6</v>
      </c>
      <c r="H53" s="4">
        <v>1.170690977222722E-8</v>
      </c>
      <c r="I53" s="4">
        <v>1.0207171233695102E-7</v>
      </c>
      <c r="J53" s="4">
        <v>1.0543063586596743E-7</v>
      </c>
      <c r="K53" s="4">
        <v>9.1924220353545115E-7</v>
      </c>
      <c r="N53" s="1" t="s">
        <v>18</v>
      </c>
      <c r="O53">
        <v>36.75745415197909</v>
      </c>
      <c r="P53">
        <v>25.107686601889611</v>
      </c>
      <c r="Q53">
        <v>112.61286822168385</v>
      </c>
      <c r="R53">
        <v>38.958589948426265</v>
      </c>
      <c r="S53">
        <v>108.99966889656545</v>
      </c>
      <c r="T53">
        <v>28.263867543968285</v>
      </c>
      <c r="U53">
        <v>120.11161388796688</v>
      </c>
      <c r="V53">
        <v>54.20915205524625</v>
      </c>
      <c r="W53" s="7">
        <v>525.02090130772558</v>
      </c>
      <c r="AC53" s="7"/>
    </row>
    <row r="54" spans="1:29">
      <c r="A54" s="7"/>
      <c r="B54" s="4">
        <v>9.023123155668349E-3</v>
      </c>
      <c r="C54" s="1" t="s">
        <v>19</v>
      </c>
      <c r="D54" s="4">
        <v>1.1201565700565012E-7</v>
      </c>
      <c r="E54" s="4">
        <v>9.7665653375408747E-7</v>
      </c>
      <c r="F54" s="4">
        <v>1.0087958457719446E-6</v>
      </c>
      <c r="G54" s="4">
        <v>8.7956191155264489E-6</v>
      </c>
      <c r="H54" s="4">
        <v>1.2092154751327773E-8</v>
      </c>
      <c r="I54" s="4">
        <v>1.0543063586596744E-7</v>
      </c>
      <c r="J54" s="4">
        <v>1.0890009312676386E-7</v>
      </c>
      <c r="K54" s="4">
        <v>9.4949215423802557E-7</v>
      </c>
      <c r="N54" s="1" t="s">
        <v>19</v>
      </c>
      <c r="O54">
        <v>112.073283558375</v>
      </c>
      <c r="P54">
        <v>109.07994741020185</v>
      </c>
      <c r="Q54">
        <v>90.371725609947305</v>
      </c>
      <c r="R54">
        <v>154.75802473366241</v>
      </c>
      <c r="S54">
        <v>92.708515068570335</v>
      </c>
      <c r="T54">
        <v>148.44027045151421</v>
      </c>
      <c r="U54">
        <v>2107.1626572927876</v>
      </c>
      <c r="V54">
        <v>3.0166786898413656</v>
      </c>
      <c r="W54" s="7">
        <v>2817.6111028148998</v>
      </c>
      <c r="AC54" s="7"/>
    </row>
    <row r="55" spans="1:29">
      <c r="A55" s="7"/>
      <c r="B55" s="4">
        <v>7.8671968012532276E-2</v>
      </c>
      <c r="C55" s="1" t="s">
        <v>20</v>
      </c>
      <c r="D55" s="4">
        <v>9.7665653375408747E-7</v>
      </c>
      <c r="E55" s="4">
        <v>8.5153987435563219E-6</v>
      </c>
      <c r="F55" s="4">
        <v>8.7956191155264489E-6</v>
      </c>
      <c r="G55" s="4">
        <v>7.6688376493278565E-5</v>
      </c>
      <c r="H55" s="4">
        <v>1.0543063586596743E-7</v>
      </c>
      <c r="I55" s="4">
        <v>9.1924220353545126E-7</v>
      </c>
      <c r="J55" s="4">
        <v>9.4949215423802567E-7</v>
      </c>
      <c r="K55" s="4">
        <v>8.2785544536692455E-6</v>
      </c>
      <c r="N55" s="1" t="s">
        <v>20</v>
      </c>
      <c r="O55">
        <v>98.271308633854375</v>
      </c>
      <c r="P55">
        <v>41.637278684026015</v>
      </c>
      <c r="Q55">
        <v>132.59063139535701</v>
      </c>
      <c r="R55">
        <v>52.605895666954986</v>
      </c>
      <c r="S55">
        <v>129.74588578584547</v>
      </c>
      <c r="T55">
        <v>39.208953633850889</v>
      </c>
      <c r="U55">
        <v>0.52031090055758411</v>
      </c>
      <c r="V55">
        <v>10656.487724649916</v>
      </c>
      <c r="W55" s="7">
        <v>11151.067989350362</v>
      </c>
      <c r="AC55" s="7"/>
    </row>
    <row r="56" spans="1:29">
      <c r="A56" s="7"/>
      <c r="O56" s="7">
        <v>41444.90954935296</v>
      </c>
      <c r="P56" s="7">
        <v>1175.4195871621698</v>
      </c>
      <c r="Q56" s="7">
        <v>789.56801284300957</v>
      </c>
      <c r="R56" s="7">
        <v>547.99015605789339</v>
      </c>
      <c r="S56" s="7">
        <v>777.68776279927897</v>
      </c>
      <c r="T56" s="7">
        <v>527.03098740631913</v>
      </c>
      <c r="U56" s="7">
        <v>2779.7515155081842</v>
      </c>
      <c r="V56" s="7">
        <v>11188.084593889494</v>
      </c>
      <c r="W56" s="21">
        <v>59230.442165019311</v>
      </c>
      <c r="X56" t="s">
        <v>64</v>
      </c>
      <c r="AC56" s="7"/>
    </row>
    <row r="57" spans="1:29">
      <c r="A57" s="7"/>
      <c r="C57" s="1" t="s">
        <v>29</v>
      </c>
      <c r="D57" s="4">
        <v>1.4789719767357992E-4</v>
      </c>
      <c r="E57" s="4">
        <v>1.6962771654248638E-5</v>
      </c>
      <c r="F57" s="4">
        <v>1.6422353280036972E-5</v>
      </c>
      <c r="G57" s="4">
        <v>1.8835287828068921E-6</v>
      </c>
      <c r="H57" s="4">
        <v>1.370045463971709E-3</v>
      </c>
      <c r="I57" s="4">
        <v>1.5713460922081243E-4</v>
      </c>
      <c r="J57" s="4">
        <v>1.521284444395853E-4</v>
      </c>
      <c r="K57" s="4">
        <v>1.7448065992704851E-5</v>
      </c>
      <c r="X57">
        <v>1</v>
      </c>
      <c r="AC57" s="7"/>
    </row>
    <row r="58" spans="1:29">
      <c r="A58" s="7"/>
      <c r="C58" s="1"/>
      <c r="D58" s="1" t="s">
        <v>13</v>
      </c>
      <c r="E58" s="1" t="s">
        <v>14</v>
      </c>
      <c r="F58" s="1" t="s">
        <v>15</v>
      </c>
      <c r="G58" s="1" t="s">
        <v>16</v>
      </c>
      <c r="H58" s="1" t="s">
        <v>17</v>
      </c>
      <c r="I58" s="1" t="s">
        <v>18</v>
      </c>
      <c r="J58" s="1" t="s">
        <v>19</v>
      </c>
      <c r="K58" s="1" t="s">
        <v>20</v>
      </c>
      <c r="L58" s="1"/>
      <c r="X58">
        <v>0</v>
      </c>
      <c r="Y58" t="s">
        <v>65</v>
      </c>
      <c r="AC58" s="7"/>
    </row>
    <row r="59" spans="1:29">
      <c r="A59" s="7"/>
      <c r="B59" s="4">
        <v>7.8671968012532276E-2</v>
      </c>
      <c r="C59" s="1" t="s">
        <v>13</v>
      </c>
      <c r="D59" s="4">
        <v>1.1635363604519043E-5</v>
      </c>
      <c r="E59" s="4">
        <v>1.3344946289869381E-6</v>
      </c>
      <c r="F59" s="4">
        <v>1.2919788519375731E-6</v>
      </c>
      <c r="G59" s="4">
        <v>1.4818091615166766E-7</v>
      </c>
      <c r="H59" s="4">
        <v>1.0778417291729723E-4</v>
      </c>
      <c r="I59" s="4">
        <v>1.2362088950281515E-5</v>
      </c>
      <c r="J59" s="4">
        <v>1.1968244114747349E-5</v>
      </c>
      <c r="K59" s="4">
        <v>1.3726736896586282E-6</v>
      </c>
      <c r="AC59" s="7"/>
    </row>
    <row r="60" spans="1:29">
      <c r="A60" s="7"/>
      <c r="B60" s="4">
        <v>9.023123155668349E-3</v>
      </c>
      <c r="C60" s="1" t="s">
        <v>14</v>
      </c>
      <c r="D60" s="4">
        <v>1.3344946289869381E-6</v>
      </c>
      <c r="E60" s="4">
        <v>1.530571776977656E-7</v>
      </c>
      <c r="F60" s="4">
        <v>1.4818091615166766E-7</v>
      </c>
      <c r="G60" s="4">
        <v>1.6995312174512687E-8</v>
      </c>
      <c r="H60" s="4">
        <v>1.2362088950281514E-5</v>
      </c>
      <c r="I60" s="4">
        <v>1.4178449310172098E-6</v>
      </c>
      <c r="J60" s="4">
        <v>1.372673689658628E-6</v>
      </c>
      <c r="K60" s="4">
        <v>1.5743604828040459E-7</v>
      </c>
      <c r="O60" s="22"/>
      <c r="P60" s="22"/>
      <c r="Q60" s="22"/>
      <c r="R60" s="22"/>
      <c r="S60" s="22"/>
      <c r="T60" s="22"/>
      <c r="U60" s="22"/>
      <c r="V60" s="22"/>
      <c r="AC60" s="7"/>
    </row>
    <row r="61" spans="1:29">
      <c r="A61" s="7"/>
      <c r="B61" s="4">
        <v>8.7356547132763536E-3</v>
      </c>
      <c r="C61" s="1" t="s">
        <v>15</v>
      </c>
      <c r="D61" s="4">
        <v>1.2919788519375731E-6</v>
      </c>
      <c r="E61" s="4">
        <v>1.4818091615166764E-7</v>
      </c>
      <c r="F61" s="4">
        <v>1.4346000783384437E-7</v>
      </c>
      <c r="G61" s="4">
        <v>1.6453857089118699E-8</v>
      </c>
      <c r="H61" s="4">
        <v>1.1968244114747349E-5</v>
      </c>
      <c r="I61" s="4">
        <v>1.372673689658628E-6</v>
      </c>
      <c r="J61" s="4">
        <v>1.3289415626920633E-6</v>
      </c>
      <c r="K61" s="4">
        <v>1.52420279926729E-7</v>
      </c>
      <c r="O61" s="22"/>
      <c r="P61" s="22"/>
      <c r="Q61" s="22"/>
      <c r="R61" s="22"/>
      <c r="S61" s="22"/>
      <c r="T61" s="22"/>
      <c r="U61" s="22"/>
      <c r="V61" s="22"/>
      <c r="AC61" s="7"/>
    </row>
    <row r="62" spans="1:29">
      <c r="A62" s="7"/>
      <c r="B62" s="4">
        <v>1.0019183492490096E-3</v>
      </c>
      <c r="C62" s="1" t="s">
        <v>16</v>
      </c>
      <c r="D62" s="4">
        <v>1.4818091615166766E-7</v>
      </c>
      <c r="E62" s="4">
        <v>1.6995312174512687E-8</v>
      </c>
      <c r="F62" s="4">
        <v>1.6453857089118699E-8</v>
      </c>
      <c r="G62" s="4">
        <v>1.8871420488328775E-9</v>
      </c>
      <c r="H62" s="4">
        <v>1.372673689658628E-6</v>
      </c>
      <c r="I62" s="4">
        <v>1.5743604828040459E-7</v>
      </c>
      <c r="J62" s="4">
        <v>1.5242027992672897E-7</v>
      </c>
      <c r="K62" s="4">
        <v>1.7481537476998626E-8</v>
      </c>
      <c r="O62" s="22"/>
      <c r="P62" s="22"/>
      <c r="Q62" s="22"/>
      <c r="R62" s="22"/>
      <c r="S62" s="22"/>
      <c r="T62" s="22"/>
      <c r="U62" s="22"/>
      <c r="V62" s="22"/>
      <c r="AC62" s="7"/>
    </row>
    <row r="63" spans="1:29">
      <c r="A63" s="7"/>
      <c r="B63" s="4">
        <v>0.72877765510598025</v>
      </c>
      <c r="C63" s="1" t="s">
        <v>17</v>
      </c>
      <c r="D63" s="4">
        <v>1.0778417291729722E-4</v>
      </c>
      <c r="E63" s="4">
        <v>1.2362088950281512E-5</v>
      </c>
      <c r="F63" s="4">
        <v>1.1968244114747347E-5</v>
      </c>
      <c r="G63" s="4">
        <v>1.372673689658628E-6</v>
      </c>
      <c r="H63" s="4">
        <v>9.9845852062188678E-4</v>
      </c>
      <c r="I63" s="4">
        <v>1.1451619204393823E-4</v>
      </c>
      <c r="J63" s="4">
        <v>1.1086781101360138E-4</v>
      </c>
      <c r="K63" s="4">
        <v>1.2715760620297838E-5</v>
      </c>
      <c r="O63" s="22"/>
      <c r="P63" s="22"/>
      <c r="Q63" s="22"/>
      <c r="R63" s="22"/>
      <c r="S63" s="22"/>
      <c r="T63" s="22"/>
      <c r="U63" s="22"/>
      <c r="V63" s="22"/>
      <c r="AC63" s="7"/>
    </row>
    <row r="64" spans="1:29">
      <c r="A64" s="7"/>
      <c r="B64" s="4">
        <v>8.3585687523069635E-2</v>
      </c>
      <c r="C64" s="1" t="s">
        <v>18</v>
      </c>
      <c r="D64" s="4">
        <v>1.2362088950281512E-5</v>
      </c>
      <c r="E64" s="4">
        <v>1.4178449310172096E-6</v>
      </c>
      <c r="F64" s="4">
        <v>1.372673689658628E-6</v>
      </c>
      <c r="G64" s="4">
        <v>1.5743604828040459E-7</v>
      </c>
      <c r="H64" s="4">
        <v>1.1451619204393823E-4</v>
      </c>
      <c r="I64" s="4">
        <v>1.3134204345390484E-5</v>
      </c>
      <c r="J64" s="4">
        <v>1.2715760620297838E-5</v>
      </c>
      <c r="K64" s="4">
        <v>1.4584085919481255E-6</v>
      </c>
      <c r="O64" s="22"/>
      <c r="P64" s="22"/>
      <c r="Q64" s="22"/>
      <c r="R64" s="22"/>
      <c r="S64" s="22"/>
      <c r="T64" s="22"/>
      <c r="U64" s="22"/>
      <c r="V64" s="22"/>
      <c r="AC64" s="7"/>
    </row>
    <row r="65" spans="1:29">
      <c r="A65" s="7"/>
      <c r="B65" s="4">
        <v>8.0922724047565453E-2</v>
      </c>
      <c r="C65" s="1" t="s">
        <v>19</v>
      </c>
      <c r="D65" s="4">
        <v>1.1968244114747347E-5</v>
      </c>
      <c r="E65" s="4">
        <v>1.372673689658628E-6</v>
      </c>
      <c r="F65" s="4">
        <v>1.3289415626920633E-6</v>
      </c>
      <c r="G65" s="4">
        <v>1.5242027992672897E-7</v>
      </c>
      <c r="H65" s="4">
        <v>1.1086781101360139E-4</v>
      </c>
      <c r="I65" s="4">
        <v>1.2715760620297838E-5</v>
      </c>
      <c r="J65" s="4">
        <v>1.2310648129169955E-5</v>
      </c>
      <c r="K65" s="4">
        <v>1.4119450294913659E-6</v>
      </c>
      <c r="O65" s="22"/>
      <c r="P65" s="22"/>
      <c r="Q65" s="22"/>
      <c r="R65" s="22"/>
      <c r="S65" s="22"/>
      <c r="T65" s="22"/>
      <c r="U65" s="22"/>
      <c r="V65" s="22"/>
      <c r="AC65" s="7"/>
    </row>
    <row r="66" spans="1:29">
      <c r="A66" s="7"/>
      <c r="B66" s="4">
        <v>9.2812690926586776E-3</v>
      </c>
      <c r="C66" s="1" t="s">
        <v>20</v>
      </c>
      <c r="D66" s="4">
        <v>1.3726736896586282E-6</v>
      </c>
      <c r="E66" s="4">
        <v>1.5743604828040459E-7</v>
      </c>
      <c r="F66" s="4">
        <v>1.52420279926729E-7</v>
      </c>
      <c r="G66" s="4">
        <v>1.7481537476998626E-8</v>
      </c>
      <c r="H66" s="4">
        <v>1.271576062029784E-5</v>
      </c>
      <c r="I66" s="4">
        <v>1.4584085919481257E-6</v>
      </c>
      <c r="J66" s="4">
        <v>1.4119450294913659E-6</v>
      </c>
      <c r="K66" s="4">
        <v>1.6194019562476049E-7</v>
      </c>
      <c r="O66" s="22"/>
      <c r="P66" s="22"/>
      <c r="Q66" s="22"/>
      <c r="R66" s="22"/>
      <c r="S66" s="22"/>
      <c r="T66" s="22"/>
      <c r="U66" s="22"/>
      <c r="V66" s="22"/>
      <c r="AC66" s="7"/>
    </row>
    <row r="67" spans="1:29">
      <c r="A67" s="7"/>
      <c r="O67" s="22"/>
      <c r="P67" s="22"/>
      <c r="Q67" s="22"/>
      <c r="R67" s="22"/>
      <c r="S67" s="22"/>
      <c r="T67" s="22"/>
      <c r="U67" s="22"/>
      <c r="V67" s="22"/>
      <c r="AC67" s="7"/>
    </row>
    <row r="68" spans="1:29">
      <c r="A68" s="7"/>
      <c r="C68" s="1" t="s">
        <v>30</v>
      </c>
      <c r="D68" s="4">
        <v>1.2793310075583686E-5</v>
      </c>
      <c r="E68" s="4">
        <v>1.1154395918983512E-4</v>
      </c>
      <c r="F68" s="4">
        <v>1.4205560415417052E-6</v>
      </c>
      <c r="G68" s="4">
        <v>1.2385726929812752E-5</v>
      </c>
      <c r="H68" s="4">
        <v>1.185108082772555E-4</v>
      </c>
      <c r="I68" s="4">
        <v>1.0332872949950324E-3</v>
      </c>
      <c r="J68" s="4">
        <v>1.3159318713578912E-5</v>
      </c>
      <c r="K68" s="4">
        <v>1.1473516243109665E-4</v>
      </c>
      <c r="O68" s="5"/>
      <c r="P68" s="5"/>
      <c r="Q68" s="5"/>
      <c r="R68" s="5"/>
      <c r="S68" s="5"/>
      <c r="T68" s="5"/>
      <c r="U68" s="5"/>
      <c r="V68" s="5"/>
      <c r="AC68" s="7"/>
    </row>
    <row r="69" spans="1:29">
      <c r="A69" s="7"/>
      <c r="C69" s="1"/>
      <c r="D69" s="1" t="s">
        <v>13</v>
      </c>
      <c r="E69" s="1" t="s">
        <v>14</v>
      </c>
      <c r="F69" s="1" t="s">
        <v>15</v>
      </c>
      <c r="G69" s="1" t="s">
        <v>16</v>
      </c>
      <c r="H69" s="1" t="s">
        <v>17</v>
      </c>
      <c r="I69" s="1" t="s">
        <v>18</v>
      </c>
      <c r="J69" s="1" t="s">
        <v>19</v>
      </c>
      <c r="K69" s="1" t="s">
        <v>20</v>
      </c>
      <c r="L69" s="1"/>
      <c r="AC69" s="7"/>
    </row>
    <row r="70" spans="1:29">
      <c r="A70" s="7"/>
      <c r="B70" s="4">
        <v>9.023123155668349E-3</v>
      </c>
      <c r="C70" s="1" t="s">
        <v>13</v>
      </c>
      <c r="D70" s="4">
        <v>1.1543561238064436E-7</v>
      </c>
      <c r="E70" s="4">
        <v>1.0064748810407265E-6</v>
      </c>
      <c r="F70" s="4">
        <v>1.2817852112359529E-8</v>
      </c>
      <c r="G70" s="4">
        <v>1.1175793946017849E-7</v>
      </c>
      <c r="H70" s="4">
        <v>1.0693376183634764E-6</v>
      </c>
      <c r="I70" s="4">
        <v>9.3234785179275888E-6</v>
      </c>
      <c r="J70" s="4">
        <v>1.1873815339731371E-7</v>
      </c>
      <c r="K70" s="4">
        <v>1.0352695009013974E-6</v>
      </c>
      <c r="AC70" s="7"/>
    </row>
    <row r="71" spans="1:29">
      <c r="A71" s="7"/>
      <c r="B71" s="4">
        <v>7.8671968012532276E-2</v>
      </c>
      <c r="C71" s="1" t="s">
        <v>14</v>
      </c>
      <c r="D71" s="4">
        <v>1.0064748810407267E-6</v>
      </c>
      <c r="E71" s="4">
        <v>8.7753827893739134E-6</v>
      </c>
      <c r="F71" s="4">
        <v>1.117579394601785E-7</v>
      </c>
      <c r="G71" s="4">
        <v>9.7440951283418847E-7</v>
      </c>
      <c r="H71" s="4">
        <v>9.3234785179275905E-6</v>
      </c>
      <c r="I71" s="4">
        <v>8.1290745019605188E-5</v>
      </c>
      <c r="J71" s="4">
        <v>1.0352695009013976E-6</v>
      </c>
      <c r="K71" s="4">
        <v>9.0264410286919309E-6</v>
      </c>
      <c r="AC71" s="7"/>
    </row>
    <row r="72" spans="1:29">
      <c r="A72" s="7"/>
      <c r="B72" s="4">
        <v>1.0019183492490096E-3</v>
      </c>
      <c r="C72" s="1" t="s">
        <v>15</v>
      </c>
      <c r="D72" s="4">
        <v>1.2817852112359529E-8</v>
      </c>
      <c r="E72" s="4">
        <v>1.1175793946017849E-7</v>
      </c>
      <c r="F72" s="4">
        <v>1.4232811641571726E-9</v>
      </c>
      <c r="G72" s="4">
        <v>1.2409487079766995E-8</v>
      </c>
      <c r="H72" s="4">
        <v>1.1873815339731369E-7</v>
      </c>
      <c r="I72" s="4">
        <v>1.0352695009013974E-6</v>
      </c>
      <c r="J72" s="4">
        <v>1.3184562882750584E-8</v>
      </c>
      <c r="K72" s="4">
        <v>1.1495526454378134E-7</v>
      </c>
      <c r="AC72" s="7"/>
    </row>
    <row r="73" spans="1:29">
      <c r="A73" s="7"/>
      <c r="B73" s="4">
        <v>8.7356547132763536E-3</v>
      </c>
      <c r="C73" s="1" t="s">
        <v>16</v>
      </c>
      <c r="D73" s="4">
        <v>1.117579394601785E-7</v>
      </c>
      <c r="E73" s="4">
        <v>9.7440951283418847E-7</v>
      </c>
      <c r="F73" s="4">
        <v>1.2409487079766997E-8</v>
      </c>
      <c r="G73" s="4">
        <v>1.0819743383177262E-7</v>
      </c>
      <c r="H73" s="4">
        <v>1.0352695009013974E-6</v>
      </c>
      <c r="I73" s="4">
        <v>9.0264410286919292E-6</v>
      </c>
      <c r="J73" s="4">
        <v>1.1495526454378135E-7</v>
      </c>
      <c r="K73" s="4">
        <v>1.0022867624697375E-6</v>
      </c>
      <c r="AC73" s="7"/>
    </row>
    <row r="74" spans="1:29">
      <c r="A74" s="7"/>
      <c r="B74" s="4">
        <v>8.3585687523069635E-2</v>
      </c>
      <c r="C74" s="1" t="s">
        <v>17</v>
      </c>
      <c r="D74" s="4">
        <v>1.0693376183634764E-6</v>
      </c>
      <c r="E74" s="4">
        <v>9.3234785179275888E-6</v>
      </c>
      <c r="F74" s="4">
        <v>1.1873815339731369E-7</v>
      </c>
      <c r="G74" s="4">
        <v>1.0352695009013974E-6</v>
      </c>
      <c r="H74" s="4">
        <v>9.9058073887690934E-6</v>
      </c>
      <c r="I74" s="4">
        <v>8.6368028961012662E-5</v>
      </c>
      <c r="J74" s="4">
        <v>1.0999307020096897E-6</v>
      </c>
      <c r="K74" s="4">
        <v>9.5902174348742841E-6</v>
      </c>
      <c r="AC74" s="7"/>
    </row>
    <row r="75" spans="1:29">
      <c r="A75" s="7"/>
      <c r="B75" s="4">
        <v>0.72877765510598025</v>
      </c>
      <c r="C75" s="1" t="s">
        <v>18</v>
      </c>
      <c r="D75" s="4">
        <v>9.3234785179275905E-6</v>
      </c>
      <c r="E75" s="4">
        <v>8.1290745019605188E-5</v>
      </c>
      <c r="F75" s="4">
        <v>1.0352695009013974E-6</v>
      </c>
      <c r="G75" s="4">
        <v>9.0264410286919292E-6</v>
      </c>
      <c r="H75" s="4">
        <v>8.6368028961012662E-5</v>
      </c>
      <c r="I75" s="4">
        <v>7.5303669189728101E-4</v>
      </c>
      <c r="J75" s="4">
        <v>9.5902174348742841E-6</v>
      </c>
      <c r="K75" s="4">
        <v>8.3616422634738384E-5</v>
      </c>
      <c r="AC75" s="7"/>
    </row>
    <row r="76" spans="1:29">
      <c r="A76" s="7"/>
      <c r="B76" s="4">
        <v>9.2812690926586776E-3</v>
      </c>
      <c r="C76" s="1" t="s">
        <v>19</v>
      </c>
      <c r="D76" s="4">
        <v>1.1873815339731372E-7</v>
      </c>
      <c r="E76" s="4">
        <v>1.0352695009013976E-6</v>
      </c>
      <c r="F76" s="4">
        <v>1.3184562882750584E-8</v>
      </c>
      <c r="G76" s="4">
        <v>1.1495526454378135E-7</v>
      </c>
      <c r="H76" s="4">
        <v>1.0999307020096897E-6</v>
      </c>
      <c r="I76" s="4">
        <v>9.5902174348742841E-6</v>
      </c>
      <c r="J76" s="4">
        <v>1.2213517805678492E-7</v>
      </c>
      <c r="K76" s="4">
        <v>1.0648879169129105E-6</v>
      </c>
      <c r="AC76" s="7"/>
    </row>
    <row r="77" spans="1:29">
      <c r="A77" s="7"/>
      <c r="B77" s="4">
        <v>8.0922724047565453E-2</v>
      </c>
      <c r="C77" s="1" t="s">
        <v>20</v>
      </c>
      <c r="D77" s="4">
        <v>1.0352695009013974E-6</v>
      </c>
      <c r="E77" s="4">
        <v>9.0264410286919292E-6</v>
      </c>
      <c r="F77" s="4">
        <v>1.1495526454378134E-7</v>
      </c>
      <c r="G77" s="4">
        <v>1.0022867624697373E-6</v>
      </c>
      <c r="H77" s="4">
        <v>9.5902174348742824E-6</v>
      </c>
      <c r="I77" s="4">
        <v>8.3616422634738371E-5</v>
      </c>
      <c r="J77" s="4">
        <v>1.0648879169129103E-6</v>
      </c>
      <c r="K77" s="4">
        <v>9.2846818879642329E-6</v>
      </c>
      <c r="AC77" s="7"/>
    </row>
    <row r="78" spans="1:29">
      <c r="A78" s="7"/>
      <c r="AC78" s="7"/>
    </row>
    <row r="79" spans="1:29">
      <c r="A79" s="7"/>
      <c r="C79" s="1" t="s">
        <v>31</v>
      </c>
      <c r="D79" s="4">
        <v>2.9733693900347684E-3</v>
      </c>
      <c r="E79" s="4">
        <v>3.4102462250981675E-4</v>
      </c>
      <c r="F79" s="4">
        <v>2.6777709195253283E-2</v>
      </c>
      <c r="G79" s="4">
        <v>3.0712155040656143E-3</v>
      </c>
      <c r="H79" s="4">
        <v>2.7543802787395013E-2</v>
      </c>
      <c r="I79" s="4">
        <v>3.159081067941708E-3</v>
      </c>
      <c r="J79" s="4">
        <v>0.24805526808885522</v>
      </c>
      <c r="K79" s="4">
        <v>2.845020011475401E-2</v>
      </c>
      <c r="AC79" s="7"/>
    </row>
    <row r="80" spans="1:29">
      <c r="A80" s="7"/>
      <c r="C80" s="1"/>
      <c r="D80" s="1" t="s">
        <v>13</v>
      </c>
      <c r="E80" s="1" t="s">
        <v>14</v>
      </c>
      <c r="F80" s="1" t="s">
        <v>15</v>
      </c>
      <c r="G80" s="1" t="s">
        <v>16</v>
      </c>
      <c r="H80" s="1" t="s">
        <v>17</v>
      </c>
      <c r="I80" s="1" t="s">
        <v>18</v>
      </c>
      <c r="J80" s="1" t="s">
        <v>19</v>
      </c>
      <c r="K80" s="1" t="s">
        <v>20</v>
      </c>
      <c r="L80" s="1"/>
      <c r="AC80" s="7"/>
    </row>
    <row r="81" spans="1:29">
      <c r="A81" s="7"/>
      <c r="B81" s="4">
        <v>8.7356547132763536E-3</v>
      </c>
      <c r="C81" s="1" t="s">
        <v>13</v>
      </c>
      <c r="D81" s="4">
        <v>2.5974328326368862E-5</v>
      </c>
      <c r="E81" s="4">
        <v>2.9790733509711699E-6</v>
      </c>
      <c r="F81" s="4">
        <v>2.339208215422579E-4</v>
      </c>
      <c r="G81" s="4">
        <v>2.6829078193578196E-5</v>
      </c>
      <c r="H81" s="4">
        <v>2.406131506412616E-4</v>
      </c>
      <c r="I81" s="4">
        <v>2.7596641420787078E-5</v>
      </c>
      <c r="J81" s="4">
        <v>2.1669251718334378E-3</v>
      </c>
      <c r="K81" s="4">
        <v>2.4853112472610631E-4</v>
      </c>
      <c r="AC81" s="7"/>
    </row>
    <row r="82" spans="1:29">
      <c r="A82" s="7"/>
      <c r="B82" s="4">
        <v>1.0019183492490096E-3</v>
      </c>
      <c r="C82" s="1" t="s">
        <v>14</v>
      </c>
      <c r="D82" s="4">
        <v>2.9790733509711695E-6</v>
      </c>
      <c r="E82" s="4">
        <v>3.4167882683830221E-7</v>
      </c>
      <c r="F82" s="4">
        <v>2.6829078193578193E-5</v>
      </c>
      <c r="G82" s="4">
        <v>3.0771071680213849E-6</v>
      </c>
      <c r="H82" s="4">
        <v>2.7596641420787081E-5</v>
      </c>
      <c r="I82" s="4">
        <v>3.1651412887359542E-6</v>
      </c>
      <c r="J82" s="4">
        <v>2.4853112472610637E-4</v>
      </c>
      <c r="K82" s="4">
        <v>2.8504777534778319E-5</v>
      </c>
      <c r="AC82" s="7"/>
    </row>
    <row r="83" spans="1:29">
      <c r="A83" s="7"/>
      <c r="B83" s="4">
        <v>7.8671968012532276E-2</v>
      </c>
      <c r="C83" s="1" t="s">
        <v>15</v>
      </c>
      <c r="D83" s="4">
        <v>2.339208215422579E-4</v>
      </c>
      <c r="E83" s="4">
        <v>2.6829078193578196E-5</v>
      </c>
      <c r="F83" s="4">
        <v>2.1066550812578575E-3</v>
      </c>
      <c r="G83" s="4">
        <v>2.4161856789544318E-4</v>
      </c>
      <c r="H83" s="4">
        <v>2.1669251718334378E-3</v>
      </c>
      <c r="I83" s="4">
        <v>2.4853112472610637E-4</v>
      </c>
      <c r="J83" s="4">
        <v>1.9514996116426535E-2</v>
      </c>
      <c r="K83" s="4">
        <v>2.2382332333780695E-3</v>
      </c>
      <c r="AC83" s="7"/>
    </row>
    <row r="84" spans="1:29">
      <c r="A84" s="7"/>
      <c r="B84" s="4">
        <v>9.023123155668349E-3</v>
      </c>
      <c r="C84" s="1" t="s">
        <v>16</v>
      </c>
      <c r="D84" s="4">
        <v>2.6829078193578193E-5</v>
      </c>
      <c r="E84" s="4">
        <v>3.0771071680213849E-6</v>
      </c>
      <c r="F84" s="4">
        <v>2.4161856789544316E-4</v>
      </c>
      <c r="G84" s="4">
        <v>2.7711955730782085E-5</v>
      </c>
      <c r="H84" s="4">
        <v>2.4853112472610637E-4</v>
      </c>
      <c r="I84" s="4">
        <v>2.8504777534778323E-5</v>
      </c>
      <c r="J84" s="4">
        <v>2.2382332333780695E-3</v>
      </c>
      <c r="K84" s="4">
        <v>2.5670965943883523E-4</v>
      </c>
      <c r="AC84" s="7"/>
    </row>
    <row r="85" spans="1:29">
      <c r="A85" s="7"/>
      <c r="B85" s="4">
        <v>8.0922724047565453E-2</v>
      </c>
      <c r="C85" s="1" t="s">
        <v>17</v>
      </c>
      <c r="D85" s="4">
        <v>2.4061315064126157E-4</v>
      </c>
      <c r="E85" s="4">
        <v>2.7596641420787078E-5</v>
      </c>
      <c r="F85" s="4">
        <v>2.1669251718334373E-3</v>
      </c>
      <c r="G85" s="4">
        <v>2.4853112472610637E-4</v>
      </c>
      <c r="H85" s="4">
        <v>2.2289195521849308E-3</v>
      </c>
      <c r="I85" s="4">
        <v>2.5564144550493522E-4</v>
      </c>
      <c r="J85" s="4">
        <v>2.0073308008099301E-2</v>
      </c>
      <c r="K85" s="4">
        <v>2.302267692984254E-3</v>
      </c>
      <c r="AC85" s="7"/>
    </row>
    <row r="86" spans="1:29">
      <c r="A86" s="7"/>
      <c r="B86" s="4">
        <v>9.2812690926586776E-3</v>
      </c>
      <c r="C86" s="1" t="s">
        <v>18</v>
      </c>
      <c r="D86" s="4">
        <v>2.7596641420787081E-5</v>
      </c>
      <c r="E86" s="4">
        <v>3.165141288735955E-6</v>
      </c>
      <c r="F86" s="4">
        <v>2.4853112472610637E-4</v>
      </c>
      <c r="G86" s="4">
        <v>2.8504777534778326E-5</v>
      </c>
      <c r="H86" s="4">
        <v>2.5564144550493527E-4</v>
      </c>
      <c r="I86" s="4">
        <v>2.9320281477090544E-5</v>
      </c>
      <c r="J86" s="4">
        <v>2.3022676929842544E-3</v>
      </c>
      <c r="K86" s="4">
        <v>2.6405396300502077E-4</v>
      </c>
      <c r="AC86" s="7"/>
    </row>
    <row r="87" spans="1:29">
      <c r="A87" s="7"/>
      <c r="B87" s="4">
        <v>0.72877765510598025</v>
      </c>
      <c r="C87" s="1" t="s">
        <v>19</v>
      </c>
      <c r="D87" s="4">
        <v>2.1669251718334373E-3</v>
      </c>
      <c r="E87" s="4">
        <v>2.4853112472610631E-4</v>
      </c>
      <c r="F87" s="4">
        <v>1.9514996116426531E-2</v>
      </c>
      <c r="G87" s="4">
        <v>2.2382332333780695E-3</v>
      </c>
      <c r="H87" s="4">
        <v>2.0073308008099301E-2</v>
      </c>
      <c r="I87" s="4">
        <v>2.302267692984254E-3</v>
      </c>
      <c r="J87" s="4">
        <v>0.18077713661448119</v>
      </c>
      <c r="K87" s="4">
        <v>2.0733870126926318E-2</v>
      </c>
      <c r="AC87" s="7"/>
    </row>
    <row r="88" spans="1:29">
      <c r="A88" s="7"/>
      <c r="B88" s="4">
        <v>8.3585687523069635E-2</v>
      </c>
      <c r="C88" s="1" t="s">
        <v>20</v>
      </c>
      <c r="D88" s="4">
        <v>2.4853112472610631E-4</v>
      </c>
      <c r="E88" s="4">
        <v>2.8504777534778323E-5</v>
      </c>
      <c r="F88" s="4">
        <v>2.2382332333780695E-3</v>
      </c>
      <c r="G88" s="4">
        <v>2.5670965943883523E-4</v>
      </c>
      <c r="H88" s="4">
        <v>2.302267692984254E-3</v>
      </c>
      <c r="I88" s="4">
        <v>2.6405396300502071E-4</v>
      </c>
      <c r="J88" s="4">
        <v>2.0733870126926318E-2</v>
      </c>
      <c r="K88" s="4">
        <v>2.3780295367606284E-3</v>
      </c>
      <c r="AC88" s="7"/>
    </row>
    <row r="89" spans="1:29">
      <c r="A89" s="7"/>
      <c r="AC89" s="7"/>
    </row>
    <row r="90" spans="1:29">
      <c r="A90" s="7"/>
      <c r="C90" s="1" t="s">
        <v>32</v>
      </c>
      <c r="D90" s="4">
        <v>3.3193871812807176E-4</v>
      </c>
      <c r="E90" s="4">
        <v>2.894150036984431E-3</v>
      </c>
      <c r="F90" s="4">
        <v>2.9893892411984235E-3</v>
      </c>
      <c r="G90" s="4">
        <v>2.6064271838385483E-2</v>
      </c>
      <c r="H90" s="4">
        <v>3.0749138066271005E-3</v>
      </c>
      <c r="I90" s="4">
        <v>2.680995443183028E-2</v>
      </c>
      <c r="J90" s="4">
        <v>2.7692202654096391E-2</v>
      </c>
      <c r="K90" s="4">
        <v>0.24144634222697386</v>
      </c>
      <c r="AC90" s="7"/>
    </row>
    <row r="91" spans="1:29">
      <c r="A91" s="7"/>
      <c r="C91" s="1"/>
      <c r="D91" s="1" t="s">
        <v>13</v>
      </c>
      <c r="E91" s="1" t="s">
        <v>14</v>
      </c>
      <c r="F91" s="1" t="s">
        <v>15</v>
      </c>
      <c r="G91" s="1" t="s">
        <v>16</v>
      </c>
      <c r="H91" s="1" t="s">
        <v>17</v>
      </c>
      <c r="I91" s="1" t="s">
        <v>18</v>
      </c>
      <c r="J91" s="1" t="s">
        <v>19</v>
      </c>
      <c r="K91" s="1" t="s">
        <v>20</v>
      </c>
      <c r="AC91" s="7"/>
    </row>
    <row r="92" spans="1:29">
      <c r="A92" s="7"/>
      <c r="B92" s="4">
        <v>1.0019183492490096E-3</v>
      </c>
      <c r="C92" s="1" t="s">
        <v>13</v>
      </c>
      <c r="D92" s="4">
        <v>3.3257549251870994E-7</v>
      </c>
      <c r="E92" s="4">
        <v>2.8997020275344009E-6</v>
      </c>
      <c r="F92" s="4">
        <v>2.9951239338042737E-6</v>
      </c>
      <c r="G92" s="4">
        <v>2.6114272214692632E-5</v>
      </c>
      <c r="H92" s="4">
        <v>3.0808125652188127E-6</v>
      </c>
      <c r="I92" s="4">
        <v>2.6861385287780564E-5</v>
      </c>
      <c r="J92" s="4">
        <v>2.7745325970261298E-5</v>
      </c>
      <c r="K92" s="4">
        <v>2.4190952063626108E-4</v>
      </c>
      <c r="AC92" s="7"/>
    </row>
    <row r="93" spans="1:29">
      <c r="A93" s="7"/>
      <c r="B93" s="4">
        <v>8.7356547132763536E-3</v>
      </c>
      <c r="C93" s="1" t="s">
        <v>14</v>
      </c>
      <c r="D93" s="4">
        <v>2.8997020275344009E-6</v>
      </c>
      <c r="E93" s="4">
        <v>2.5282295411511977E-5</v>
      </c>
      <c r="F93" s="4">
        <v>2.6114272214692632E-5</v>
      </c>
      <c r="G93" s="4">
        <v>2.2768847913310828E-4</v>
      </c>
      <c r="H93" s="4">
        <v>2.6861385287780564E-5</v>
      </c>
      <c r="I93" s="4">
        <v>2.3420250479514246E-4</v>
      </c>
      <c r="J93" s="4">
        <v>2.4190952063626108E-4</v>
      </c>
      <c r="K93" s="4">
        <v>2.1091918774783997E-3</v>
      </c>
      <c r="AC93" s="7"/>
    </row>
    <row r="94" spans="1:29">
      <c r="A94" s="7"/>
      <c r="B94" s="4">
        <v>9.023123155668349E-3</v>
      </c>
      <c r="C94" s="1" t="s">
        <v>15</v>
      </c>
      <c r="D94" s="4">
        <v>2.9951239338042733E-6</v>
      </c>
      <c r="E94" s="4">
        <v>2.6114272214692628E-5</v>
      </c>
      <c r="F94" s="4">
        <v>2.697362728356333E-5</v>
      </c>
      <c r="G94" s="4">
        <v>2.3518113476057048E-4</v>
      </c>
      <c r="H94" s="4">
        <v>2.7745325970261298E-5</v>
      </c>
      <c r="I94" s="4">
        <v>2.4190952063626108E-4</v>
      </c>
      <c r="J94" s="4">
        <v>2.4987015499963765E-4</v>
      </c>
      <c r="K94" s="4">
        <v>2.1786000813996324E-3</v>
      </c>
      <c r="AC94" s="7"/>
    </row>
    <row r="95" spans="1:29">
      <c r="A95" s="7"/>
      <c r="B95" s="4">
        <v>7.8671968012532276E-2</v>
      </c>
      <c r="C95" s="1" t="s">
        <v>16</v>
      </c>
      <c r="D95" s="4">
        <v>2.6114272214692628E-5</v>
      </c>
      <c r="E95" s="4">
        <v>2.2768847913310825E-4</v>
      </c>
      <c r="F95" s="4">
        <v>2.3518113476057051E-4</v>
      </c>
      <c r="G95" s="4">
        <v>2.0505275603394085E-3</v>
      </c>
      <c r="H95" s="4">
        <v>2.419095206362611E-4</v>
      </c>
      <c r="I95" s="4">
        <v>2.1091918774783997E-3</v>
      </c>
      <c r="J95" s="4">
        <v>2.1786000813996328E-3</v>
      </c>
      <c r="K95" s="4">
        <v>1.899505891242341E-2</v>
      </c>
      <c r="AC95" s="7"/>
    </row>
    <row r="96" spans="1:29">
      <c r="A96" s="7"/>
      <c r="B96" s="4">
        <v>9.2812690926586776E-3</v>
      </c>
      <c r="C96" s="1" t="s">
        <v>17</v>
      </c>
      <c r="D96" s="4">
        <v>3.0808125652188131E-6</v>
      </c>
      <c r="E96" s="4">
        <v>2.6861385287780568E-5</v>
      </c>
      <c r="F96" s="4">
        <v>2.7745325970261305E-5</v>
      </c>
      <c r="G96" s="4">
        <v>2.4190952063626116E-4</v>
      </c>
      <c r="H96" s="4">
        <v>2.8539102476037549E-5</v>
      </c>
      <c r="I96" s="4">
        <v>2.488304014437339E-4</v>
      </c>
      <c r="J96" s="4">
        <v>2.5701878460110541E-4</v>
      </c>
      <c r="K96" s="4">
        <v>2.2409284736467023E-3</v>
      </c>
      <c r="AC96" s="7"/>
    </row>
    <row r="97" spans="1:29">
      <c r="A97" s="7"/>
      <c r="B97" s="4">
        <v>8.0922724047565453E-2</v>
      </c>
      <c r="C97" s="1" t="s">
        <v>18</v>
      </c>
      <c r="D97" s="4">
        <v>2.6861385287780564E-5</v>
      </c>
      <c r="E97" s="4">
        <v>2.3420250479514246E-4</v>
      </c>
      <c r="F97" s="4">
        <v>2.419095206362611E-4</v>
      </c>
      <c r="G97" s="4">
        <v>2.1091918774784001E-3</v>
      </c>
      <c r="H97" s="4">
        <v>2.488304014437339E-4</v>
      </c>
      <c r="I97" s="4">
        <v>2.1695345442148063E-3</v>
      </c>
      <c r="J97" s="4">
        <v>2.2409284736467018E-3</v>
      </c>
      <c r="K97" s="4">
        <v>1.9538495724327455E-2</v>
      </c>
      <c r="AC97" s="7"/>
    </row>
    <row r="98" spans="1:29">
      <c r="A98" s="7"/>
      <c r="B98" s="4">
        <v>8.3585687523069635E-2</v>
      </c>
      <c r="C98" s="1" t="s">
        <v>19</v>
      </c>
      <c r="D98" s="4">
        <v>2.7745325970261295E-5</v>
      </c>
      <c r="E98" s="4">
        <v>2.4190952063626108E-4</v>
      </c>
      <c r="F98" s="4">
        <v>2.4987015499963765E-4</v>
      </c>
      <c r="G98" s="4">
        <v>2.1786000813996328E-3</v>
      </c>
      <c r="H98" s="4">
        <v>2.5701878460110541E-4</v>
      </c>
      <c r="I98" s="4">
        <v>2.2409284736467018E-3</v>
      </c>
      <c r="J98" s="4">
        <v>2.3146717978708205E-3</v>
      </c>
      <c r="K98" s="4">
        <v>2.0181458514971971E-2</v>
      </c>
      <c r="AC98" s="7"/>
    </row>
    <row r="99" spans="1:29">
      <c r="A99" s="7"/>
      <c r="B99" s="4">
        <v>0.72877765510598025</v>
      </c>
      <c r="C99" s="1" t="s">
        <v>20</v>
      </c>
      <c r="D99" s="4">
        <v>2.4190952063626108E-4</v>
      </c>
      <c r="E99" s="4">
        <v>2.1091918774783997E-3</v>
      </c>
      <c r="F99" s="4">
        <v>2.1786000813996328E-3</v>
      </c>
      <c r="G99" s="4">
        <v>1.899505891242341E-2</v>
      </c>
      <c r="H99" s="4">
        <v>2.2409284736467018E-3</v>
      </c>
      <c r="I99" s="4">
        <v>1.9538495724327455E-2</v>
      </c>
      <c r="J99" s="4">
        <v>2.0181458514971971E-2</v>
      </c>
      <c r="K99" s="4">
        <v>0.17596069912209003</v>
      </c>
      <c r="AC99" s="7"/>
    </row>
    <row r="100" spans="1:29">
      <c r="A100" s="7"/>
      <c r="AC100" s="7"/>
    </row>
    <row r="101" spans="1:29">
      <c r="A101" s="7"/>
      <c r="C101" s="1" t="s">
        <v>33</v>
      </c>
      <c r="AC101" s="7"/>
    </row>
    <row r="102" spans="1:29">
      <c r="A102" s="7"/>
      <c r="C102" s="1"/>
      <c r="D102" s="1" t="s">
        <v>13</v>
      </c>
      <c r="E102" s="1" t="s">
        <v>14</v>
      </c>
      <c r="F102" s="1" t="s">
        <v>15</v>
      </c>
      <c r="G102" s="1" t="s">
        <v>16</v>
      </c>
      <c r="H102" s="1" t="s">
        <v>17</v>
      </c>
      <c r="I102" s="1" t="s">
        <v>18</v>
      </c>
      <c r="J102" s="1" t="s">
        <v>19</v>
      </c>
      <c r="K102" s="1" t="s">
        <v>20</v>
      </c>
      <c r="AC102" s="7"/>
    </row>
    <row r="103" spans="1:29">
      <c r="A103" s="7"/>
      <c r="C103" s="1" t="s">
        <v>13</v>
      </c>
      <c r="D103" s="4">
        <v>0.17195531054050786</v>
      </c>
      <c r="E103" s="4">
        <v>1.9726914703037786E-2</v>
      </c>
      <c r="F103" s="4">
        <v>1.9328761197282825E-2</v>
      </c>
      <c r="G103" s="4">
        <v>2.251682678516199E-3</v>
      </c>
      <c r="H103" s="4">
        <v>1.8911114028674708E-2</v>
      </c>
      <c r="I103" s="4">
        <v>2.2047880828319683E-3</v>
      </c>
      <c r="J103" s="4">
        <v>4.2675923279890541E-3</v>
      </c>
      <c r="K103" s="4">
        <v>7.3017570605671224E-4</v>
      </c>
      <c r="L103" s="7">
        <v>0.23937633926489713</v>
      </c>
      <c r="AC103" s="7"/>
    </row>
    <row r="104" spans="1:29">
      <c r="A104" s="7"/>
      <c r="C104" s="1" t="s">
        <v>14</v>
      </c>
      <c r="D104" s="4">
        <v>1.9726914703037789E-2</v>
      </c>
      <c r="E104" s="4">
        <v>2.3047922752263751E-3</v>
      </c>
      <c r="F104" s="4">
        <v>2.2516826785161995E-3</v>
      </c>
      <c r="G104" s="4">
        <v>5.6175188970373916E-4</v>
      </c>
      <c r="H104" s="4">
        <v>2.2047880828319683E-3</v>
      </c>
      <c r="I104" s="4">
        <v>5.6514993783596886E-4</v>
      </c>
      <c r="J104" s="4">
        <v>7.3017570605671234E-4</v>
      </c>
      <c r="K104" s="4">
        <v>2.1825036716352567E-3</v>
      </c>
      <c r="L104" s="7">
        <v>3.0527758944844014E-2</v>
      </c>
      <c r="T104" s="6"/>
      <c r="AC104" s="7"/>
    </row>
    <row r="105" spans="1:29">
      <c r="A105" s="7"/>
      <c r="C105" s="1" t="s">
        <v>15</v>
      </c>
      <c r="D105" s="4">
        <v>1.9328761197282829E-2</v>
      </c>
      <c r="E105" s="4">
        <v>2.2516826785161995E-3</v>
      </c>
      <c r="F105" s="4">
        <v>4.2627974003843234E-3</v>
      </c>
      <c r="G105" s="4">
        <v>8.0141907073680643E-4</v>
      </c>
      <c r="H105" s="4">
        <v>4.2675923279890541E-3</v>
      </c>
      <c r="I105" s="4">
        <v>7.3017570605671234E-4</v>
      </c>
      <c r="J105" s="4">
        <v>1.9996037745077661E-2</v>
      </c>
      <c r="K105" s="4">
        <v>4.4521404224364862E-3</v>
      </c>
      <c r="L105" s="7">
        <v>5.6090606548480068E-2</v>
      </c>
      <c r="AC105" s="7"/>
    </row>
    <row r="106" spans="1:29">
      <c r="A106" s="7"/>
      <c r="C106" s="1" t="s">
        <v>16</v>
      </c>
      <c r="D106" s="4">
        <v>2.2516826785161999E-3</v>
      </c>
      <c r="E106" s="4">
        <v>5.6175188970373916E-4</v>
      </c>
      <c r="F106" s="4">
        <v>8.0141907073680654E-4</v>
      </c>
      <c r="G106" s="4">
        <v>2.8166355351461527E-3</v>
      </c>
      <c r="H106" s="4">
        <v>7.3017570605671234E-4</v>
      </c>
      <c r="I106" s="4">
        <v>2.1825036716352567E-3</v>
      </c>
      <c r="J106" s="4">
        <v>4.4521404224364871E-3</v>
      </c>
      <c r="K106" s="4">
        <v>1.9332486732416887E-2</v>
      </c>
      <c r="L106" s="7">
        <v>3.3128795706648242E-2</v>
      </c>
      <c r="AC106" s="7"/>
    </row>
    <row r="107" spans="1:29">
      <c r="A107" s="7"/>
      <c r="C107" s="1" t="s">
        <v>17</v>
      </c>
      <c r="D107" s="4">
        <v>1.8911114028674712E-2</v>
      </c>
      <c r="E107" s="4">
        <v>2.2047880828319688E-3</v>
      </c>
      <c r="F107" s="4">
        <v>4.2675923279890541E-3</v>
      </c>
      <c r="G107" s="4">
        <v>7.3017570605671245E-4</v>
      </c>
      <c r="H107" s="4">
        <v>5.2692309413799425E-3</v>
      </c>
      <c r="I107" s="4">
        <v>9.3514446767778751E-4</v>
      </c>
      <c r="J107" s="4">
        <v>2.0664762844329932E-2</v>
      </c>
      <c r="K107" s="4">
        <v>4.5911217438408926E-3</v>
      </c>
      <c r="L107" s="7">
        <v>5.7573930142781005E-2</v>
      </c>
      <c r="AC107" s="7"/>
    </row>
    <row r="108" spans="1:29">
      <c r="A108" s="7"/>
      <c r="C108" s="1" t="s">
        <v>18</v>
      </c>
      <c r="D108" s="4">
        <v>2.2047880828319688E-3</v>
      </c>
      <c r="E108" s="4">
        <v>5.6514993783596886E-4</v>
      </c>
      <c r="F108" s="4">
        <v>7.3017570605671234E-4</v>
      </c>
      <c r="G108" s="4">
        <v>2.1825036716352571E-3</v>
      </c>
      <c r="H108" s="4">
        <v>9.3514446767778751E-4</v>
      </c>
      <c r="I108" s="4">
        <v>2.9914815693302108E-3</v>
      </c>
      <c r="J108" s="4">
        <v>4.5911217438408926E-3</v>
      </c>
      <c r="K108" s="4">
        <v>1.9891470057009968E-2</v>
      </c>
      <c r="L108" s="7">
        <v>3.4091835236218768E-2</v>
      </c>
      <c r="AC108" s="7"/>
    </row>
    <row r="109" spans="1:29">
      <c r="A109" s="7"/>
      <c r="C109" s="1" t="s">
        <v>19</v>
      </c>
      <c r="D109" s="4">
        <v>4.2675923279890541E-3</v>
      </c>
      <c r="E109" s="4">
        <v>7.3017570605671224E-4</v>
      </c>
      <c r="F109" s="4">
        <v>1.9996037745077657E-2</v>
      </c>
      <c r="G109" s="4">
        <v>4.4521404224364871E-3</v>
      </c>
      <c r="H109" s="4">
        <v>2.0664762844329932E-2</v>
      </c>
      <c r="I109" s="4">
        <v>4.5911217438408918E-3</v>
      </c>
      <c r="J109" s="4">
        <v>0.18312905140622238</v>
      </c>
      <c r="K109" s="4">
        <v>4.0921588034127009E-2</v>
      </c>
      <c r="L109" s="7">
        <v>0.2787524702300801</v>
      </c>
      <c r="AC109" s="7"/>
    </row>
    <row r="110" spans="1:29">
      <c r="A110" s="7"/>
      <c r="C110" s="1" t="s">
        <v>20</v>
      </c>
      <c r="D110" s="4">
        <v>7.3017570605671234E-4</v>
      </c>
      <c r="E110" s="4">
        <v>2.1825036716352567E-3</v>
      </c>
      <c r="F110" s="4">
        <v>4.4521404224364871E-3</v>
      </c>
      <c r="G110" s="4">
        <v>1.9332486732416887E-2</v>
      </c>
      <c r="H110" s="4">
        <v>4.5911217438408918E-3</v>
      </c>
      <c r="I110" s="4">
        <v>1.9891470057009968E-2</v>
      </c>
      <c r="J110" s="4">
        <v>4.0921588034127009E-2</v>
      </c>
      <c r="K110" s="4">
        <v>0.17835677876832465</v>
      </c>
      <c r="L110" s="7">
        <v>0.27045826513584786</v>
      </c>
      <c r="AC110" s="7"/>
    </row>
    <row r="111" spans="1:29">
      <c r="A111" s="7"/>
      <c r="D111" s="3">
        <v>0.23937633926489713</v>
      </c>
      <c r="E111" s="3">
        <v>3.0527758944844011E-2</v>
      </c>
      <c r="F111" s="3">
        <v>5.6090606548480061E-2</v>
      </c>
      <c r="G111" s="3">
        <v>3.3128795706648242E-2</v>
      </c>
      <c r="H111" s="3">
        <v>5.7573930142780991E-2</v>
      </c>
      <c r="I111" s="3">
        <v>3.4091835236218768E-2</v>
      </c>
      <c r="J111" s="3">
        <v>0.2787524702300801</v>
      </c>
      <c r="K111" s="3">
        <v>0.27045826513584786</v>
      </c>
      <c r="L111" s="7">
        <v>1.0000000012097972</v>
      </c>
      <c r="AC111" s="7"/>
    </row>
    <row r="112" spans="1:29">
      <c r="A112" s="7"/>
      <c r="L112" s="7"/>
      <c r="M112" s="7"/>
      <c r="N112" s="7"/>
      <c r="O112" s="7"/>
      <c r="P112" s="7"/>
      <c r="Q112" s="7"/>
      <c r="R112" s="7"/>
      <c r="S112" s="7"/>
      <c r="T112" s="7"/>
      <c r="U112" s="7"/>
      <c r="V112" s="7"/>
      <c r="W112" s="7"/>
      <c r="X112" s="7"/>
      <c r="Y112" s="7"/>
      <c r="Z112" s="7"/>
      <c r="AA112" s="7"/>
      <c r="AB112" s="7"/>
      <c r="AC112" s="7"/>
    </row>
    <row r="113" spans="1:29">
      <c r="A113" s="7"/>
      <c r="C113" s="1" t="s">
        <v>34</v>
      </c>
      <c r="N113" t="s">
        <v>36</v>
      </c>
      <c r="O113" s="8">
        <v>0.64087650074492775</v>
      </c>
      <c r="W113" t="s">
        <v>54</v>
      </c>
      <c r="Y113" t="s">
        <v>60</v>
      </c>
      <c r="AC113" s="7"/>
    </row>
    <row r="114" spans="1:29">
      <c r="A114" s="7"/>
      <c r="C114" s="1"/>
      <c r="D114" s="1" t="s">
        <v>13</v>
      </c>
      <c r="E114" s="1" t="s">
        <v>14</v>
      </c>
      <c r="F114" s="1" t="s">
        <v>15</v>
      </c>
      <c r="G114" s="1" t="s">
        <v>16</v>
      </c>
      <c r="H114" s="1" t="s">
        <v>17</v>
      </c>
      <c r="I114" s="1" t="s">
        <v>18</v>
      </c>
      <c r="J114" s="1" t="s">
        <v>19</v>
      </c>
      <c r="K114" s="1" t="s">
        <v>20</v>
      </c>
      <c r="N114" t="s">
        <v>37</v>
      </c>
      <c r="O114" s="8">
        <v>0.63843013762105627</v>
      </c>
      <c r="R114" t="s">
        <v>58</v>
      </c>
      <c r="W114" s="1" t="s">
        <v>45</v>
      </c>
      <c r="X114" s="7" t="s">
        <v>47</v>
      </c>
      <c r="Y114" s="7" t="s">
        <v>48</v>
      </c>
      <c r="Z114" s="7" t="s">
        <v>49</v>
      </c>
      <c r="AA114" s="7" t="s">
        <v>50</v>
      </c>
      <c r="AB114" s="7"/>
      <c r="AC114" s="7"/>
    </row>
    <row r="115" spans="1:29">
      <c r="A115" s="7"/>
      <c r="C115" s="1" t="s">
        <v>13</v>
      </c>
      <c r="D115" s="5">
        <v>1719.5531054050787</v>
      </c>
      <c r="E115" s="5">
        <v>197.26914703037787</v>
      </c>
      <c r="F115" s="5">
        <v>193.28761197282824</v>
      </c>
      <c r="G115" s="5">
        <v>22.516826785161989</v>
      </c>
      <c r="H115" s="5">
        <v>189.11114028674709</v>
      </c>
      <c r="I115" s="5">
        <v>22.047880828319684</v>
      </c>
      <c r="J115" s="5">
        <v>42.67592327989054</v>
      </c>
      <c r="K115" s="5">
        <v>7.3017570605671223</v>
      </c>
      <c r="L115" s="12">
        <v>2393.7633926489711</v>
      </c>
      <c r="N115" t="s">
        <v>38</v>
      </c>
      <c r="O115" s="8">
        <v>0.36820665502355893</v>
      </c>
      <c r="W115" s="1" t="s">
        <v>13</v>
      </c>
      <c r="X115" s="5">
        <v>2393.7633926489711</v>
      </c>
      <c r="Y115" s="5">
        <v>1719.5531054050787</v>
      </c>
      <c r="Z115" s="5">
        <v>674.21028724389248</v>
      </c>
      <c r="AA115" s="8">
        <v>0.10682232816409655</v>
      </c>
      <c r="AB115" s="8">
        <v>2.1181260761043839</v>
      </c>
      <c r="AC115" s="7"/>
    </row>
    <row r="116" spans="1:29">
      <c r="A116" s="7"/>
      <c r="C116" s="1" t="s">
        <v>14</v>
      </c>
      <c r="D116" s="5">
        <v>197.26914703037789</v>
      </c>
      <c r="E116" s="5">
        <v>23.047922752263752</v>
      </c>
      <c r="F116" s="5">
        <v>22.516826785161996</v>
      </c>
      <c r="G116" s="5">
        <v>5.6175188970373915</v>
      </c>
      <c r="H116" s="5">
        <v>22.047880828319684</v>
      </c>
      <c r="I116" s="5">
        <v>5.6514993783596887</v>
      </c>
      <c r="J116" s="5">
        <v>7.3017570605671231</v>
      </c>
      <c r="K116" s="5">
        <v>21.825036716352567</v>
      </c>
      <c r="L116" s="12">
        <v>305.2775894484401</v>
      </c>
      <c r="M116" s="10" t="s">
        <v>39</v>
      </c>
      <c r="N116" s="10">
        <v>1</v>
      </c>
      <c r="O116" s="10">
        <v>2</v>
      </c>
      <c r="P116" s="10" t="s">
        <v>39</v>
      </c>
      <c r="Q116" s="10">
        <v>1</v>
      </c>
      <c r="R116" s="10">
        <v>2</v>
      </c>
      <c r="S116" s="10" t="s">
        <v>11</v>
      </c>
      <c r="T116" s="10" t="s">
        <v>42</v>
      </c>
      <c r="U116" s="10" t="s">
        <v>43</v>
      </c>
      <c r="V116" s="10"/>
      <c r="W116" s="1" t="s">
        <v>14</v>
      </c>
      <c r="X116" s="5">
        <v>305.2775894484401</v>
      </c>
      <c r="Y116" s="5">
        <v>23.047922752263752</v>
      </c>
      <c r="Z116" s="5">
        <v>282.22966669617637</v>
      </c>
      <c r="AA116" s="8">
        <v>0.71093949699589098</v>
      </c>
      <c r="AB116" s="8">
        <v>0.44681842126457466</v>
      </c>
      <c r="AC116" s="7"/>
    </row>
    <row r="117" spans="1:29">
      <c r="A117" s="7"/>
      <c r="C117" s="1" t="s">
        <v>15</v>
      </c>
      <c r="D117" s="5">
        <v>193.2876119728283</v>
      </c>
      <c r="E117" s="5">
        <v>22.516826785161996</v>
      </c>
      <c r="F117" s="5">
        <v>42.627974003843235</v>
      </c>
      <c r="G117" s="5">
        <v>8.0141907073680638</v>
      </c>
      <c r="H117" s="5">
        <v>42.67592327989054</v>
      </c>
      <c r="I117" s="5">
        <v>7.3017570605671231</v>
      </c>
      <c r="J117" s="5">
        <v>199.9603774507766</v>
      </c>
      <c r="K117" s="5">
        <v>44.521404224364865</v>
      </c>
      <c r="L117" s="12">
        <v>560.90606548480082</v>
      </c>
      <c r="M117" s="10">
        <v>1</v>
      </c>
      <c r="N117" s="5">
        <v>2711.8396018685175</v>
      </c>
      <c r="O117" s="5">
        <v>879.39540278017603</v>
      </c>
      <c r="P117" s="10">
        <v>1</v>
      </c>
      <c r="Q117">
        <v>0.26563673897386253</v>
      </c>
      <c r="R117">
        <v>0.79226851280445454</v>
      </c>
      <c r="S117" s="23">
        <v>1.7332407864219173</v>
      </c>
      <c r="T117">
        <v>0.81200245220591383</v>
      </c>
      <c r="U117" s="23">
        <v>0.18799754779408617</v>
      </c>
      <c r="W117" s="1" t="s">
        <v>15</v>
      </c>
      <c r="X117" s="5">
        <v>560.90606548480082</v>
      </c>
      <c r="Y117" s="5">
        <v>42.627974003843235</v>
      </c>
      <c r="Z117" s="5">
        <v>518.27809148095753</v>
      </c>
      <c r="AA117" s="8">
        <v>0.30876896404637111</v>
      </c>
      <c r="AB117" s="8">
        <v>1.1372769477356908</v>
      </c>
      <c r="AC117" s="7"/>
    </row>
    <row r="118" spans="1:29">
      <c r="A118" s="7"/>
      <c r="C118" s="1" t="s">
        <v>16</v>
      </c>
      <c r="D118" s="5">
        <v>22.516826785161999</v>
      </c>
      <c r="E118" s="5">
        <v>5.6175188970373915</v>
      </c>
      <c r="F118" s="5">
        <v>8.0141907073680656</v>
      </c>
      <c r="G118" s="5">
        <v>28.166355351461526</v>
      </c>
      <c r="H118" s="5">
        <v>7.3017570605671231</v>
      </c>
      <c r="I118" s="5">
        <v>21.825036716352567</v>
      </c>
      <c r="J118" s="5">
        <v>44.521404224364872</v>
      </c>
      <c r="K118" s="5">
        <v>193.32486732416888</v>
      </c>
      <c r="L118" s="12">
        <v>331.28795706648248</v>
      </c>
      <c r="M118" s="10">
        <v>2</v>
      </c>
      <c r="N118" s="5">
        <v>879.39540278017603</v>
      </c>
      <c r="O118" s="5">
        <v>5529.3696046691011</v>
      </c>
      <c r="P118" s="10">
        <v>2</v>
      </c>
      <c r="Q118">
        <v>0.48277421652305719</v>
      </c>
      <c r="R118">
        <v>0.19256131812054272</v>
      </c>
      <c r="W118" s="1" t="s">
        <v>16</v>
      </c>
      <c r="X118" s="5">
        <v>331.28795706648248</v>
      </c>
      <c r="Y118" s="5">
        <v>28.166355351461526</v>
      </c>
      <c r="Z118" s="5">
        <v>303.12160171502097</v>
      </c>
      <c r="AA118" s="8">
        <v>4.8298219237383526E-2</v>
      </c>
      <c r="AB118" s="8">
        <v>3.6191432545934492</v>
      </c>
      <c r="AC118" s="7"/>
    </row>
    <row r="119" spans="1:29">
      <c r="A119" s="7"/>
      <c r="C119" s="1" t="s">
        <v>17</v>
      </c>
      <c r="D119" s="5">
        <v>189.11114028674712</v>
      </c>
      <c r="E119" s="5">
        <v>22.047880828319688</v>
      </c>
      <c r="F119" s="5">
        <v>42.67592327989054</v>
      </c>
      <c r="G119" s="5">
        <v>7.3017570605671249</v>
      </c>
      <c r="H119" s="5">
        <v>52.692309413799428</v>
      </c>
      <c r="I119" s="5">
        <v>9.3514446767778754</v>
      </c>
      <c r="J119" s="5">
        <v>206.64762844329931</v>
      </c>
      <c r="K119" s="5">
        <v>45.911217438408926</v>
      </c>
      <c r="L119" s="12">
        <v>575.73930142781001</v>
      </c>
      <c r="M119" s="10" t="s">
        <v>40</v>
      </c>
      <c r="N119" s="10">
        <v>1</v>
      </c>
      <c r="O119" s="10">
        <v>2</v>
      </c>
      <c r="P119" s="10" t="s">
        <v>40</v>
      </c>
      <c r="Q119" s="10">
        <v>1</v>
      </c>
      <c r="R119" s="10">
        <v>2</v>
      </c>
      <c r="S119" s="10" t="s">
        <v>11</v>
      </c>
      <c r="T119" s="10" t="s">
        <v>42</v>
      </c>
      <c r="U119" s="10" t="s">
        <v>43</v>
      </c>
      <c r="W119" s="1" t="s">
        <v>17</v>
      </c>
      <c r="X119" s="5">
        <v>575.73930142781001</v>
      </c>
      <c r="Y119" s="5">
        <v>52.692309413799428</v>
      </c>
      <c r="Z119" s="5">
        <v>523.04699201401058</v>
      </c>
      <c r="AA119" s="8">
        <v>1.7967232389259763E-3</v>
      </c>
      <c r="AB119" s="8">
        <v>4.2218948096193E-6</v>
      </c>
      <c r="AC119" s="7"/>
    </row>
    <row r="120" spans="1:29">
      <c r="A120" s="7"/>
      <c r="C120" s="1" t="s">
        <v>18</v>
      </c>
      <c r="D120" s="5">
        <v>22.047880828319688</v>
      </c>
      <c r="E120" s="5">
        <v>5.6514993783596887</v>
      </c>
      <c r="F120" s="5">
        <v>7.3017570605671231</v>
      </c>
      <c r="G120" s="5">
        <v>21.825036716352571</v>
      </c>
      <c r="H120" s="5">
        <v>9.3514446767778754</v>
      </c>
      <c r="I120" s="5">
        <v>29.91481569330211</v>
      </c>
      <c r="J120" s="5">
        <v>45.911217438408926</v>
      </c>
      <c r="K120" s="5">
        <v>198.91470057009968</v>
      </c>
      <c r="L120" s="12">
        <v>340.91835236218765</v>
      </c>
      <c r="M120" s="10">
        <v>1</v>
      </c>
      <c r="N120" s="5">
        <v>2716.1661393222489</v>
      </c>
      <c r="O120" s="5">
        <v>899.53249656516095</v>
      </c>
      <c r="P120" s="10">
        <v>1</v>
      </c>
      <c r="Q120">
        <v>1.7193959930067389E-2</v>
      </c>
      <c r="R120">
        <v>0.7787697951415492</v>
      </c>
      <c r="S120" s="23">
        <v>2.1219212938818646</v>
      </c>
      <c r="T120">
        <v>0.85479570977298591</v>
      </c>
      <c r="U120" s="23">
        <v>0.14520429022701409</v>
      </c>
      <c r="W120" s="1" t="s">
        <v>18</v>
      </c>
      <c r="X120" s="5">
        <v>340.91835236218765</v>
      </c>
      <c r="Y120" s="5">
        <v>29.91481569330211</v>
      </c>
      <c r="Z120" s="5">
        <v>311.00353666888554</v>
      </c>
      <c r="AA120" s="8">
        <v>0.12256532605470702</v>
      </c>
      <c r="AB120" s="8">
        <v>2.1730174292053017</v>
      </c>
      <c r="AC120" s="7"/>
    </row>
    <row r="121" spans="1:29">
      <c r="A121" s="7"/>
      <c r="C121" s="1" t="s">
        <v>19</v>
      </c>
      <c r="D121" s="5">
        <v>42.67592327989054</v>
      </c>
      <c r="E121" s="5">
        <v>7.3017570605671223</v>
      </c>
      <c r="F121" s="5">
        <v>199.96037745077658</v>
      </c>
      <c r="G121" s="5">
        <v>44.521404224364872</v>
      </c>
      <c r="H121" s="5">
        <v>206.64762844329931</v>
      </c>
      <c r="I121" s="5">
        <v>45.911217438408919</v>
      </c>
      <c r="J121" s="5">
        <v>1831.2905140622238</v>
      </c>
      <c r="K121" s="5">
        <v>409.21588034127006</v>
      </c>
      <c r="L121" s="12">
        <v>2787.524702300801</v>
      </c>
      <c r="M121" s="10">
        <v>2</v>
      </c>
      <c r="N121" s="5">
        <v>899.53249656516118</v>
      </c>
      <c r="O121" s="5">
        <v>5484.7688796454013</v>
      </c>
      <c r="P121" s="10">
        <v>2</v>
      </c>
      <c r="Q121">
        <v>1.3256811994856994</v>
      </c>
      <c r="R121">
        <v>2.7633932454875957E-4</v>
      </c>
      <c r="W121" s="1" t="s">
        <v>19</v>
      </c>
      <c r="X121" s="5">
        <v>2787.524702300801</v>
      </c>
      <c r="Y121" s="5">
        <v>1831.2905140622238</v>
      </c>
      <c r="Z121" s="5">
        <v>956.23418823857719</v>
      </c>
      <c r="AA121" s="8">
        <v>0.62050746916637034</v>
      </c>
      <c r="AB121" s="8">
        <v>3.2608028609840659E-3</v>
      </c>
      <c r="AC121" s="7"/>
    </row>
    <row r="122" spans="1:29">
      <c r="A122" s="7"/>
      <c r="C122" s="1" t="s">
        <v>20</v>
      </c>
      <c r="D122" s="5">
        <v>7.3017570605671231</v>
      </c>
      <c r="E122" s="5">
        <v>21.825036716352567</v>
      </c>
      <c r="F122" s="5">
        <v>44.521404224364872</v>
      </c>
      <c r="G122" s="5">
        <v>193.32486732416888</v>
      </c>
      <c r="H122" s="5">
        <v>45.911217438408919</v>
      </c>
      <c r="I122" s="5">
        <v>198.91470057009968</v>
      </c>
      <c r="J122" s="5">
        <v>409.21588034127006</v>
      </c>
      <c r="K122" s="5">
        <v>1783.5677876832465</v>
      </c>
      <c r="L122" s="12">
        <v>2704.5826513584789</v>
      </c>
      <c r="M122" s="10" t="s">
        <v>41</v>
      </c>
      <c r="N122" s="10">
        <v>1</v>
      </c>
      <c r="O122" s="10">
        <v>2</v>
      </c>
      <c r="P122" s="10" t="s">
        <v>41</v>
      </c>
      <c r="Q122" s="10">
        <v>1</v>
      </c>
      <c r="R122" s="10">
        <v>2</v>
      </c>
      <c r="S122" s="10" t="s">
        <v>11</v>
      </c>
      <c r="T122" s="10" t="s">
        <v>42</v>
      </c>
      <c r="U122" s="10" t="s">
        <v>43</v>
      </c>
      <c r="W122" s="1" t="s">
        <v>20</v>
      </c>
      <c r="X122" s="5">
        <v>2704.5826513584789</v>
      </c>
      <c r="Y122" s="5">
        <v>1783.5677876832465</v>
      </c>
      <c r="Z122" s="5">
        <v>921.01486367523239</v>
      </c>
      <c r="AA122" s="8">
        <v>3.0970384362600249E-2</v>
      </c>
      <c r="AB122" s="8">
        <v>0.21326084038596857</v>
      </c>
      <c r="AC122" s="7"/>
    </row>
    <row r="123" spans="1:29">
      <c r="A123" s="7"/>
      <c r="D123" s="12">
        <v>2393.7633926489711</v>
      </c>
      <c r="E123" s="12">
        <v>305.27758944844004</v>
      </c>
      <c r="F123" s="12">
        <v>560.90606548480071</v>
      </c>
      <c r="G123" s="12">
        <v>331.28795706648242</v>
      </c>
      <c r="H123" s="12">
        <v>575.73930142780989</v>
      </c>
      <c r="I123" s="12">
        <v>340.91835236218765</v>
      </c>
      <c r="J123" s="12">
        <v>2787.524702300801</v>
      </c>
      <c r="K123" s="12">
        <v>2704.5826513584789</v>
      </c>
      <c r="L123" s="1">
        <v>10000.000012097971</v>
      </c>
      <c r="M123" s="10">
        <v>1</v>
      </c>
      <c r="N123" s="5">
        <v>5394.8811123118103</v>
      </c>
      <c r="O123" s="5">
        <v>923.05234955057335</v>
      </c>
      <c r="P123" s="10">
        <v>1</v>
      </c>
      <c r="Q123">
        <v>1.8030907834728884E-3</v>
      </c>
      <c r="R123">
        <v>0.90782117281884356</v>
      </c>
      <c r="S123" s="23">
        <v>2.4059566596350299</v>
      </c>
      <c r="T123">
        <v>0.87912578919599316</v>
      </c>
      <c r="U123" s="23">
        <v>0.12087421080400684</v>
      </c>
      <c r="W123" s="1" t="s">
        <v>59</v>
      </c>
      <c r="X123" s="7">
        <v>10000.000012097971</v>
      </c>
      <c r="Y123" s="7">
        <v>5510.8607843652189</v>
      </c>
      <c r="Z123" s="7">
        <v>4489.1392277327523</v>
      </c>
      <c r="AA123" s="7">
        <v>1.950668911266346</v>
      </c>
      <c r="AB123" s="7">
        <v>9.7109079940451632</v>
      </c>
      <c r="AC123" s="11">
        <v>11.661576905311509</v>
      </c>
    </row>
    <row r="124" spans="1:29">
      <c r="A124" s="7"/>
      <c r="M124" s="10">
        <v>2</v>
      </c>
      <c r="N124" s="5">
        <v>923.05234955057335</v>
      </c>
      <c r="O124" s="5">
        <v>2759.0142006850156</v>
      </c>
      <c r="P124" s="10">
        <v>2</v>
      </c>
      <c r="Q124">
        <v>1.4873225856435075</v>
      </c>
      <c r="R124">
        <v>9.0098103892061829E-3</v>
      </c>
      <c r="AC124" s="7" t="s">
        <v>51</v>
      </c>
    </row>
    <row r="125" spans="1:29">
      <c r="A125" s="7"/>
      <c r="C125" s="1" t="s">
        <v>35</v>
      </c>
      <c r="L125" s="7"/>
      <c r="M125" s="7"/>
      <c r="N125" s="7"/>
      <c r="O125" s="7"/>
      <c r="P125" s="7"/>
      <c r="Q125" s="7"/>
      <c r="R125" s="7"/>
      <c r="S125" s="7"/>
      <c r="T125" s="7"/>
      <c r="U125" s="7"/>
      <c r="V125" s="7"/>
      <c r="W125" s="7"/>
      <c r="X125" s="7"/>
      <c r="Y125" s="7"/>
      <c r="Z125" s="7"/>
      <c r="AA125" s="7"/>
      <c r="AB125" s="7"/>
      <c r="AC125" s="7"/>
    </row>
    <row r="126" spans="1:29">
      <c r="A126" s="7"/>
      <c r="C126" s="1"/>
      <c r="D126" s="1" t="s">
        <v>13</v>
      </c>
      <c r="E126" s="1" t="s">
        <v>14</v>
      </c>
      <c r="F126" s="1" t="s">
        <v>15</v>
      </c>
      <c r="G126" s="1" t="s">
        <v>16</v>
      </c>
      <c r="H126" s="1" t="s">
        <v>17</v>
      </c>
      <c r="I126" s="1" t="s">
        <v>18</v>
      </c>
      <c r="J126" s="1" t="s">
        <v>19</v>
      </c>
      <c r="K126" s="1" t="s">
        <v>20</v>
      </c>
      <c r="AC126" s="7"/>
    </row>
    <row r="127" spans="1:29">
      <c r="A127" s="7"/>
      <c r="C127" s="1" t="s">
        <v>13</v>
      </c>
      <c r="D127" s="8">
        <v>-13.499553360700737</v>
      </c>
      <c r="E127" s="8">
        <v>30.728310213219778</v>
      </c>
      <c r="F127" s="8">
        <v>4.7693712500314112</v>
      </c>
      <c r="G127" s="8">
        <v>1.5309826446012109</v>
      </c>
      <c r="H127" s="8">
        <v>11.196496094640471</v>
      </c>
      <c r="I127" s="8">
        <v>-2.8267727004231942</v>
      </c>
      <c r="J127" s="8">
        <v>-5.2805286651153445</v>
      </c>
      <c r="K127" s="8">
        <v>0.73061223407268361</v>
      </c>
      <c r="L127" s="13">
        <v>27.34891771032628</v>
      </c>
      <c r="AC127" s="7"/>
    </row>
    <row r="128" spans="1:29">
      <c r="A128" s="7"/>
      <c r="C128" s="1" t="s">
        <v>14</v>
      </c>
      <c r="D128" s="8">
        <v>-19.190214737751198</v>
      </c>
      <c r="E128" s="8">
        <v>-3.6695966731442273</v>
      </c>
      <c r="F128" s="8">
        <v>9.9114538475297707</v>
      </c>
      <c r="G128" s="8">
        <v>4.2420103947534438</v>
      </c>
      <c r="H128" s="8">
        <v>3.1414833788292782</v>
      </c>
      <c r="I128" s="8">
        <v>-0.6124148710945545</v>
      </c>
      <c r="J128" s="8">
        <v>1.8819860842392189</v>
      </c>
      <c r="K128" s="8">
        <v>-5.6251137439371872</v>
      </c>
      <c r="L128" s="13">
        <v>-9.9204063205754558</v>
      </c>
      <c r="AC128" s="7"/>
    </row>
    <row r="129" spans="1:29">
      <c r="A129" s="7"/>
      <c r="C129" s="1" t="s">
        <v>15</v>
      </c>
      <c r="D129" s="8">
        <v>-22.693418389340192</v>
      </c>
      <c r="E129" s="8">
        <v>0.48832056944384411</v>
      </c>
      <c r="F129" s="8">
        <v>-3.4690132772602267</v>
      </c>
      <c r="G129" s="8">
        <v>-1.4178136221015547E-2</v>
      </c>
      <c r="H129" s="8">
        <v>-1.6425763124481814</v>
      </c>
      <c r="I129" s="8">
        <v>4.5075828641538198</v>
      </c>
      <c r="J129" s="8">
        <v>6.129928530604233</v>
      </c>
      <c r="K129" s="8">
        <v>-7.6482406397374536</v>
      </c>
      <c r="L129" s="13">
        <v>-24.341594790805175</v>
      </c>
      <c r="AC129" s="7"/>
    </row>
    <row r="130" spans="1:29">
      <c r="A130" s="7"/>
      <c r="C130" s="1" t="s">
        <v>16</v>
      </c>
      <c r="D130" s="8">
        <v>-4.0300403206811595</v>
      </c>
      <c r="E130" s="8">
        <v>-2.0654858169406718</v>
      </c>
      <c r="F130" s="8">
        <v>1.044096917658806</v>
      </c>
      <c r="G130" s="8">
        <v>-1.1418658295069384</v>
      </c>
      <c r="H130" s="8">
        <v>-1.1781332591561737</v>
      </c>
      <c r="I130" s="8">
        <v>0.17566272519312146</v>
      </c>
      <c r="J130" s="8">
        <v>-6.0185884892301722</v>
      </c>
      <c r="K130" s="8">
        <v>-17.427558800307164</v>
      </c>
      <c r="L130" s="13">
        <v>-30.641912872970352</v>
      </c>
      <c r="AC130" s="7"/>
    </row>
    <row r="131" spans="1:29">
      <c r="A131" s="7"/>
      <c r="C131" s="1" t="s">
        <v>17</v>
      </c>
      <c r="D131" s="8">
        <v>14.386831872291436</v>
      </c>
      <c r="E131" s="8">
        <v>-5.1300442796039754</v>
      </c>
      <c r="F131" s="8">
        <v>-2.5902179791740587</v>
      </c>
      <c r="G131" s="8">
        <v>-0.29543404355806308</v>
      </c>
      <c r="H131" s="8">
        <v>0.30858720428174879</v>
      </c>
      <c r="I131" s="8">
        <v>0.67054250743693244</v>
      </c>
      <c r="J131" s="8">
        <v>-4.5949681927469364</v>
      </c>
      <c r="K131" s="8">
        <v>-0.90211437335256994</v>
      </c>
      <c r="L131" s="13">
        <v>1.8531827155745151</v>
      </c>
      <c r="AC131" s="7"/>
    </row>
    <row r="132" spans="1:29">
      <c r="A132" s="7"/>
      <c r="C132" s="1" t="s">
        <v>18</v>
      </c>
      <c r="D132" s="8">
        <v>-2.8267727004231968</v>
      </c>
      <c r="E132" s="8">
        <v>4.1877332161488736</v>
      </c>
      <c r="F132" s="8">
        <v>-1.1781332591561737</v>
      </c>
      <c r="G132" s="8">
        <v>-1.7465102095473015</v>
      </c>
      <c r="H132" s="8">
        <v>-1.248714404564133</v>
      </c>
      <c r="I132" s="8">
        <v>-1.8521819577803584</v>
      </c>
      <c r="J132" s="8">
        <v>14.798850115592989</v>
      </c>
      <c r="K132" s="8">
        <v>17.798900083948681</v>
      </c>
      <c r="L132" s="13">
        <v>27.933170884219379</v>
      </c>
      <c r="AC132" s="7"/>
    </row>
    <row r="133" spans="1:29">
      <c r="A133" s="7"/>
      <c r="C133" s="1" t="s">
        <v>19</v>
      </c>
      <c r="D133" s="8">
        <v>16.49673276175195</v>
      </c>
      <c r="E133" s="8">
        <v>0.73061223407268361</v>
      </c>
      <c r="F133" s="8">
        <v>-7.7997815322654098</v>
      </c>
      <c r="G133" s="8">
        <v>-6.8469297236588202</v>
      </c>
      <c r="H133" s="8">
        <v>-15.958288580993548</v>
      </c>
      <c r="I133" s="8">
        <v>-4.6386337747610442</v>
      </c>
      <c r="J133" s="8">
        <v>34.017853336524801</v>
      </c>
      <c r="K133" s="8">
        <v>24.462285817658781</v>
      </c>
      <c r="L133" s="13">
        <v>40.463850538329396</v>
      </c>
      <c r="AC133" s="7"/>
    </row>
    <row r="134" spans="1:29">
      <c r="A134" s="7"/>
      <c r="C134" s="1" t="s">
        <v>20</v>
      </c>
      <c r="D134" s="8">
        <v>5.9614996484069964</v>
      </c>
      <c r="E134" s="8">
        <v>-4.2473554795773749</v>
      </c>
      <c r="F134" s="8">
        <v>2.5463441155005713</v>
      </c>
      <c r="G134" s="8">
        <v>17.374456366361891</v>
      </c>
      <c r="H134" s="8">
        <v>3.1904302910244655</v>
      </c>
      <c r="I134" s="8">
        <v>8.5317716514895864E-2</v>
      </c>
      <c r="J134" s="8">
        <v>-34.563829385021734</v>
      </c>
      <c r="K134" s="8">
        <v>7.447676044459012</v>
      </c>
      <c r="L134" s="13">
        <v>-2.2054606823312746</v>
      </c>
      <c r="AC134" s="7"/>
    </row>
    <row r="135" spans="1:29">
      <c r="A135" s="7"/>
      <c r="D135" s="13">
        <v>-25.394935226446105</v>
      </c>
      <c r="E135" s="13">
        <v>21.022493983618929</v>
      </c>
      <c r="F135" s="13">
        <v>3.2341200828646892</v>
      </c>
      <c r="G135" s="13">
        <v>13.102531463224407</v>
      </c>
      <c r="H135" s="13">
        <v>-2.1907155883860736</v>
      </c>
      <c r="I135" s="13">
        <v>-4.4908974907603811</v>
      </c>
      <c r="J135" s="13">
        <v>6.3707033348470574</v>
      </c>
      <c r="K135" s="13">
        <v>18.836446622804782</v>
      </c>
      <c r="L135" s="2">
        <v>60.97949436353462</v>
      </c>
      <c r="M135" t="s">
        <v>53</v>
      </c>
      <c r="AC135" s="7"/>
    </row>
    <row r="136" spans="1:29">
      <c r="A136" s="7"/>
      <c r="AC136" s="7"/>
    </row>
    <row r="137" spans="1:29">
      <c r="A137" s="7"/>
      <c r="AC137" s="7"/>
    </row>
    <row r="138" spans="1:29">
      <c r="A138" s="7"/>
      <c r="C138" t="s">
        <v>52</v>
      </c>
      <c r="AC138" s="7"/>
    </row>
    <row r="139" spans="1:29">
      <c r="A139" s="7"/>
      <c r="C139" s="1"/>
      <c r="D139" s="1" t="s">
        <v>13</v>
      </c>
      <c r="E139" s="1" t="s">
        <v>14</v>
      </c>
      <c r="F139" s="1" t="s">
        <v>15</v>
      </c>
      <c r="G139" s="1" t="s">
        <v>16</v>
      </c>
      <c r="H139" s="1" t="s">
        <v>17</v>
      </c>
      <c r="I139" s="1" t="s">
        <v>18</v>
      </c>
      <c r="J139" s="1" t="s">
        <v>19</v>
      </c>
      <c r="K139" s="1" t="s">
        <v>20</v>
      </c>
      <c r="L139" s="7"/>
      <c r="AC139" s="7"/>
    </row>
    <row r="140" spans="1:29">
      <c r="A140" s="7"/>
      <c r="C140" s="1" t="s">
        <v>13</v>
      </c>
      <c r="D140" s="8">
        <v>0.10682232816409655</v>
      </c>
      <c r="E140" s="8">
        <v>4.1844450832188702</v>
      </c>
      <c r="F140" s="8">
        <v>0.11488889894171511</v>
      </c>
      <c r="G140" s="8">
        <v>9.7695950064444023E-2</v>
      </c>
      <c r="H140" s="8">
        <v>0.62697134433815005</v>
      </c>
      <c r="I140" s="8">
        <v>0.42133652735035498</v>
      </c>
      <c r="J140" s="8">
        <v>0.75490118556811736</v>
      </c>
      <c r="K140" s="8">
        <v>6.677066881625314E-2</v>
      </c>
      <c r="L140" s="14">
        <v>6.3738319864620019</v>
      </c>
      <c r="AC140" s="7"/>
    </row>
    <row r="141" spans="1:29">
      <c r="A141" s="7"/>
      <c r="C141" s="1" t="s">
        <v>14</v>
      </c>
      <c r="D141" s="8">
        <v>2.0826283659847284</v>
      </c>
      <c r="E141" s="8">
        <v>0.71093949699589098</v>
      </c>
      <c r="F141" s="8">
        <v>3.1960199578551411</v>
      </c>
      <c r="G141" s="8">
        <v>2.0366960257015028</v>
      </c>
      <c r="H141" s="8">
        <v>0.39527642913455752</v>
      </c>
      <c r="I141" s="8">
        <v>7.5104217763579603E-2</v>
      </c>
      <c r="J141" s="8">
        <v>0.39497740850742807</v>
      </c>
      <c r="K141" s="8">
        <v>2.1342977235249911</v>
      </c>
      <c r="L141" s="14">
        <v>11.025939625467819</v>
      </c>
      <c r="AC141" s="7"/>
    </row>
    <row r="142" spans="1:29">
      <c r="A142" s="7"/>
      <c r="C142" s="1" t="s">
        <v>15</v>
      </c>
      <c r="D142" s="8">
        <v>3.0518670561546233</v>
      </c>
      <c r="E142" s="8">
        <v>1.0368084178305878E-2</v>
      </c>
      <c r="F142" s="8">
        <v>0.30876896404637111</v>
      </c>
      <c r="G142" s="8">
        <v>2.5127449914672021E-5</v>
      </c>
      <c r="H142" s="8">
        <v>6.5815069111874874E-2</v>
      </c>
      <c r="I142" s="8">
        <v>1.8731109136631341</v>
      </c>
      <c r="J142" s="8">
        <v>0.18242134267858692</v>
      </c>
      <c r="K142" s="8">
        <v>1.6309981955889055</v>
      </c>
      <c r="L142" s="14">
        <v>7.1233747528717153</v>
      </c>
      <c r="AC142" s="7"/>
    </row>
    <row r="143" spans="1:29">
      <c r="A143" s="7"/>
      <c r="C143" s="1" t="s">
        <v>16</v>
      </c>
      <c r="D143" s="8">
        <v>0.90606569041962359</v>
      </c>
      <c r="E143" s="8">
        <v>2.3295770268479647</v>
      </c>
      <c r="F143" s="8">
        <v>0.12126239528415585</v>
      </c>
      <c r="G143" s="8">
        <v>4.8298219237383526E-2</v>
      </c>
      <c r="H143" s="8">
        <v>0.23207721520725866</v>
      </c>
      <c r="I143" s="8">
        <v>1.4026162256925592E-3</v>
      </c>
      <c r="J143" s="8">
        <v>0.95524195156202307</v>
      </c>
      <c r="K143" s="8">
        <v>1.7369765571095335</v>
      </c>
      <c r="L143" s="14">
        <v>6.3309016718936348</v>
      </c>
      <c r="AC143" s="7"/>
    </row>
    <row r="144" spans="1:29">
      <c r="A144" s="7"/>
      <c r="C144" s="1" t="s">
        <v>17</v>
      </c>
      <c r="D144" s="8">
        <v>1.0200373380538355</v>
      </c>
      <c r="E144" s="8">
        <v>1.658974066413458</v>
      </c>
      <c r="F144" s="8">
        <v>0.16778934934570705</v>
      </c>
      <c r="G144" s="8">
        <v>1.2470604382863308E-2</v>
      </c>
      <c r="H144" s="8">
        <v>1.7967232389259763E-3</v>
      </c>
      <c r="I144" s="8">
        <v>4.4979575008797928E-2</v>
      </c>
      <c r="J144" s="8">
        <v>0.1045279363217642</v>
      </c>
      <c r="K144" s="8">
        <v>1.8085279946549366E-2</v>
      </c>
      <c r="L144" s="14">
        <v>3.0286608727119009</v>
      </c>
      <c r="AC144" s="7"/>
    </row>
    <row r="145" spans="1:29">
      <c r="A145" s="7"/>
      <c r="C145" s="1" t="s">
        <v>18</v>
      </c>
      <c r="D145" s="8">
        <v>0.42133652735035587</v>
      </c>
      <c r="E145" s="8">
        <v>1.9839790580282952</v>
      </c>
      <c r="F145" s="8">
        <v>0.23207721520725866</v>
      </c>
      <c r="G145" s="8">
        <v>0.15261184021465488</v>
      </c>
      <c r="H145" s="8">
        <v>0.1953070116456658</v>
      </c>
      <c r="I145" s="8">
        <v>0.12256532605470702</v>
      </c>
      <c r="J145" s="8">
        <v>3.7314677872447124</v>
      </c>
      <c r="K145" s="8">
        <v>1.467500671256224</v>
      </c>
      <c r="L145" s="14">
        <v>8.3068454370018738</v>
      </c>
      <c r="AC145" s="7"/>
    </row>
    <row r="146" spans="1:29">
      <c r="A146" s="7"/>
      <c r="C146" s="1" t="s">
        <v>19</v>
      </c>
      <c r="D146" s="8">
        <v>4.8078438171779379</v>
      </c>
      <c r="E146" s="8">
        <v>6.677066881625314E-2</v>
      </c>
      <c r="F146" s="8">
        <v>0.31690082788742047</v>
      </c>
      <c r="G146" s="8">
        <v>1.2706589671161876</v>
      </c>
      <c r="H146" s="8">
        <v>1.3411406405866004</v>
      </c>
      <c r="I146" s="8">
        <v>0.5253630392112677</v>
      </c>
      <c r="J146" s="8">
        <v>0.62050746916637034</v>
      </c>
      <c r="K146" s="8">
        <v>1.3823616704929071</v>
      </c>
      <c r="L146" s="14">
        <v>10.331547100454943</v>
      </c>
      <c r="AC146" s="7"/>
    </row>
    <row r="147" spans="1:29">
      <c r="A147" s="7"/>
      <c r="C147" s="1" t="s">
        <v>20</v>
      </c>
      <c r="D147" s="8">
        <v>3.0230376791276652</v>
      </c>
      <c r="E147" s="8">
        <v>1.0667097433429251</v>
      </c>
      <c r="F147" s="8">
        <v>0.13798839290954423</v>
      </c>
      <c r="G147" s="8">
        <v>1.4383046196034222</v>
      </c>
      <c r="H147" s="8">
        <v>0.20780493842464737</v>
      </c>
      <c r="I147" s="8">
        <v>3.6578456597052662E-5</v>
      </c>
      <c r="J147" s="8">
        <v>3.2051297417866009</v>
      </c>
      <c r="K147" s="8">
        <v>3.0970384362600249E-2</v>
      </c>
      <c r="L147" s="14">
        <v>9.1099820780140028</v>
      </c>
      <c r="N147">
        <v>0.80529313045217543</v>
      </c>
      <c r="AC147" s="7"/>
    </row>
    <row r="148" spans="1:29">
      <c r="A148" s="7"/>
      <c r="B148" s="7"/>
      <c r="C148" s="7"/>
      <c r="D148" s="14">
        <v>15.419638802432866</v>
      </c>
      <c r="E148" s="14">
        <v>12.011763227841964</v>
      </c>
      <c r="F148" s="14">
        <v>4.5956960014773136</v>
      </c>
      <c r="G148" s="14">
        <v>5.0567613537703728</v>
      </c>
      <c r="H148" s="14">
        <v>3.0661893716876807</v>
      </c>
      <c r="I148" s="14">
        <v>3.0638987937341309</v>
      </c>
      <c r="J148" s="14">
        <v>9.9491748228356034</v>
      </c>
      <c r="K148" s="14">
        <v>8.4679611510979651</v>
      </c>
      <c r="L148" s="15">
        <v>61.631083524877894</v>
      </c>
      <c r="M148" t="s">
        <v>11</v>
      </c>
      <c r="N148" s="7">
        <v>0.19470686954782457</v>
      </c>
      <c r="O148" s="7" t="s">
        <v>61</v>
      </c>
      <c r="P148" s="7"/>
      <c r="Q148" s="7"/>
      <c r="R148" s="7"/>
      <c r="S148" s="7"/>
      <c r="T148" s="7"/>
      <c r="U148" s="7"/>
      <c r="V148" s="7"/>
      <c r="W148" s="7"/>
      <c r="X148" s="7"/>
      <c r="Y148" s="7"/>
      <c r="Z148" s="7"/>
      <c r="AA148" s="7"/>
      <c r="AB148" s="7"/>
      <c r="AC148" s="7"/>
    </row>
  </sheetData>
  <pageMargins left="0.7" right="0.7" top="0.75" bottom="0.75" header="0.3" footer="0.3"/>
  <pageSetup orientation="portrait" horizontalDpi="4294967292" verticalDpi="4294967292"/>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48"/>
  <sheetViews>
    <sheetView zoomScale="125" zoomScaleNormal="125" zoomScalePageLayoutView="125" workbookViewId="0">
      <selection activeCell="D4" sqref="D4:K11"/>
    </sheetView>
  </sheetViews>
  <sheetFormatPr baseColWidth="10" defaultRowHeight="14" x14ac:dyDescent="0"/>
  <sheetData>
    <row r="1" spans="1:29">
      <c r="A1" s="16" t="s">
        <v>0</v>
      </c>
      <c r="B1" s="16" t="s">
        <v>1</v>
      </c>
      <c r="C1" s="16" t="s">
        <v>2</v>
      </c>
      <c r="D1" s="16" t="s">
        <v>3</v>
      </c>
      <c r="E1" s="16" t="s">
        <v>4</v>
      </c>
      <c r="F1" s="16" t="s">
        <v>5</v>
      </c>
      <c r="G1" s="16" t="s">
        <v>6</v>
      </c>
      <c r="H1" s="25" t="s">
        <v>7</v>
      </c>
      <c r="I1" s="25" t="s">
        <v>8</v>
      </c>
      <c r="J1" s="25" t="s">
        <v>9</v>
      </c>
      <c r="K1" s="16" t="s">
        <v>10</v>
      </c>
      <c r="L1" s="7"/>
      <c r="M1" s="7"/>
      <c r="N1" s="7"/>
      <c r="O1" s="7"/>
      <c r="P1" s="7"/>
      <c r="Q1" s="7"/>
      <c r="R1" s="7"/>
      <c r="S1" s="7"/>
      <c r="T1" s="7"/>
      <c r="U1" s="7"/>
      <c r="V1" s="7"/>
      <c r="W1" s="7"/>
      <c r="X1" s="7"/>
      <c r="Y1" s="7"/>
      <c r="Z1" s="7"/>
      <c r="AA1" s="7"/>
      <c r="AB1" s="7"/>
      <c r="AC1" s="7"/>
    </row>
    <row r="2" spans="1:29">
      <c r="A2" s="18">
        <v>9.7112277794131785E-2</v>
      </c>
      <c r="B2" s="18">
        <v>9.8706967408542179E-2</v>
      </c>
      <c r="C2" s="18">
        <v>9.8335089254796212E-2</v>
      </c>
      <c r="D2" s="18">
        <v>0.33199286209613921</v>
      </c>
      <c r="E2" s="18">
        <v>0</v>
      </c>
      <c r="F2" s="18">
        <v>1.1006722652384517E-3</v>
      </c>
      <c r="G2" s="18">
        <v>2.1156827383497778E-4</v>
      </c>
      <c r="H2" s="18">
        <v>0</v>
      </c>
      <c r="I2" s="18">
        <v>2.6578819329799511E-4</v>
      </c>
      <c r="J2" s="18">
        <v>0.33334915454758912</v>
      </c>
      <c r="K2" s="18">
        <v>0.33307996324824762</v>
      </c>
      <c r="L2" s="1">
        <v>1.0000000086243475</v>
      </c>
      <c r="N2" t="s">
        <v>36</v>
      </c>
      <c r="O2" s="4">
        <v>0.63360000000000005</v>
      </c>
      <c r="P2" s="4">
        <v>0.63339999999999996</v>
      </c>
      <c r="S2" s="4">
        <v>0.63349999999999995</v>
      </c>
      <c r="Y2" t="s">
        <v>85</v>
      </c>
      <c r="AC2" s="7"/>
    </row>
    <row r="3" spans="1:29">
      <c r="A3" t="s">
        <v>95</v>
      </c>
      <c r="B3" s="20">
        <v>69.47144272187515</v>
      </c>
      <c r="C3" s="17" t="s">
        <v>12</v>
      </c>
      <c r="D3" s="1" t="s">
        <v>13</v>
      </c>
      <c r="E3" s="1" t="s">
        <v>14</v>
      </c>
      <c r="F3" s="1" t="s">
        <v>15</v>
      </c>
      <c r="G3" s="1" t="s">
        <v>16</v>
      </c>
      <c r="H3" s="1" t="s">
        <v>17</v>
      </c>
      <c r="I3" s="1" t="s">
        <v>18</v>
      </c>
      <c r="J3" s="1" t="s">
        <v>19</v>
      </c>
      <c r="K3" s="1" t="s">
        <v>20</v>
      </c>
      <c r="L3" s="1"/>
      <c r="N3" t="s">
        <v>37</v>
      </c>
      <c r="O3" s="4">
        <v>0.63600000000000001</v>
      </c>
      <c r="P3" s="4">
        <v>0.63880000000000003</v>
      </c>
      <c r="Q3" t="s">
        <v>55</v>
      </c>
      <c r="S3" s="4">
        <v>0.63739999999999997</v>
      </c>
      <c r="Y3" s="1" t="s">
        <v>12</v>
      </c>
      <c r="Z3" t="s">
        <v>47</v>
      </c>
      <c r="AA3" t="s">
        <v>48</v>
      </c>
      <c r="AB3" t="s">
        <v>49</v>
      </c>
      <c r="AC3" s="7"/>
    </row>
    <row r="4" spans="1:29">
      <c r="A4" t="s">
        <v>21</v>
      </c>
      <c r="B4">
        <v>6.3982292344785127E-2</v>
      </c>
      <c r="C4" s="1" t="s">
        <v>13</v>
      </c>
      <c r="D4" s="24">
        <v>1765</v>
      </c>
      <c r="E4" s="24">
        <v>188</v>
      </c>
      <c r="F4" s="24">
        <v>221</v>
      </c>
      <c r="G4" s="24">
        <v>31</v>
      </c>
      <c r="H4" s="24">
        <v>176</v>
      </c>
      <c r="I4" s="24">
        <v>28</v>
      </c>
      <c r="J4" s="24">
        <v>31</v>
      </c>
      <c r="K4" s="24">
        <v>10</v>
      </c>
      <c r="L4" s="1">
        <v>2450</v>
      </c>
      <c r="N4" t="s">
        <v>38</v>
      </c>
      <c r="O4" s="4">
        <v>0.36359999999999998</v>
      </c>
      <c r="P4" s="4">
        <v>0.36990000000000001</v>
      </c>
      <c r="Q4" t="s">
        <v>56</v>
      </c>
      <c r="S4" s="4">
        <v>0.36675000000000002</v>
      </c>
      <c r="T4" t="s">
        <v>44</v>
      </c>
      <c r="V4" t="s">
        <v>57</v>
      </c>
      <c r="Y4" s="1" t="s">
        <v>13</v>
      </c>
      <c r="Z4">
        <v>2450</v>
      </c>
      <c r="AA4">
        <v>1765</v>
      </c>
      <c r="AB4">
        <v>685</v>
      </c>
      <c r="AC4" s="7"/>
    </row>
    <row r="5" spans="1:29">
      <c r="C5" s="1" t="s">
        <v>14</v>
      </c>
      <c r="D5" s="24">
        <v>211</v>
      </c>
      <c r="E5" s="24">
        <v>21</v>
      </c>
      <c r="F5" s="24">
        <v>18</v>
      </c>
      <c r="G5" s="24">
        <v>4</v>
      </c>
      <c r="H5" s="24">
        <v>21</v>
      </c>
      <c r="I5" s="24">
        <v>8</v>
      </c>
      <c r="J5" s="24">
        <v>6</v>
      </c>
      <c r="K5" s="24">
        <v>26</v>
      </c>
      <c r="L5" s="1">
        <v>315</v>
      </c>
      <c r="M5" s="10" t="s">
        <v>39</v>
      </c>
      <c r="N5" s="10">
        <v>1</v>
      </c>
      <c r="O5" s="10">
        <v>2</v>
      </c>
      <c r="P5" s="10" t="s">
        <v>39</v>
      </c>
      <c r="Q5" s="10">
        <v>1</v>
      </c>
      <c r="R5" s="10">
        <v>2</v>
      </c>
      <c r="S5" s="10" t="s">
        <v>39</v>
      </c>
      <c r="T5" s="10">
        <v>1</v>
      </c>
      <c r="U5" s="10">
        <v>2</v>
      </c>
      <c r="V5" s="10" t="s">
        <v>11</v>
      </c>
      <c r="W5" t="s">
        <v>42</v>
      </c>
      <c r="X5" t="s">
        <v>43</v>
      </c>
      <c r="Y5" s="1" t="s">
        <v>14</v>
      </c>
      <c r="Z5">
        <v>315</v>
      </c>
      <c r="AA5">
        <v>21</v>
      </c>
      <c r="AB5">
        <v>294</v>
      </c>
      <c r="AC5" s="7"/>
    </row>
    <row r="6" spans="1:29">
      <c r="A6" t="s">
        <v>22</v>
      </c>
      <c r="B6" s="19">
        <v>9.7112277794131785E-2</v>
      </c>
      <c r="C6" s="1" t="s">
        <v>15</v>
      </c>
      <c r="D6" s="24">
        <v>194</v>
      </c>
      <c r="E6" s="24">
        <v>27</v>
      </c>
      <c r="F6" s="24">
        <v>51</v>
      </c>
      <c r="G6" s="24">
        <v>4</v>
      </c>
      <c r="H6" s="24">
        <v>58</v>
      </c>
      <c r="I6" s="24">
        <v>1</v>
      </c>
      <c r="J6" s="24">
        <v>225</v>
      </c>
      <c r="K6" s="24">
        <v>43</v>
      </c>
      <c r="L6" s="1">
        <v>603</v>
      </c>
      <c r="M6" s="10">
        <v>1</v>
      </c>
      <c r="N6">
        <v>2784</v>
      </c>
      <c r="O6">
        <v>880</v>
      </c>
      <c r="P6" s="10">
        <v>1</v>
      </c>
      <c r="Q6">
        <v>1343.2224000000001</v>
      </c>
      <c r="R6">
        <v>2320.7775999999999</v>
      </c>
      <c r="S6" s="10">
        <v>1</v>
      </c>
      <c r="T6">
        <v>1545.4180131761943</v>
      </c>
      <c r="U6">
        <v>894.45886269402104</v>
      </c>
      <c r="V6" s="23">
        <v>3850.815776310315</v>
      </c>
      <c r="W6">
        <v>1</v>
      </c>
      <c r="X6" s="23">
        <v>0</v>
      </c>
      <c r="Y6" s="1" t="s">
        <v>15</v>
      </c>
      <c r="Z6">
        <v>603</v>
      </c>
      <c r="AA6">
        <v>51</v>
      </c>
      <c r="AB6">
        <v>552</v>
      </c>
      <c r="AC6" s="7"/>
    </row>
    <row r="7" spans="1:29">
      <c r="A7" t="s">
        <v>23</v>
      </c>
      <c r="B7" s="19">
        <v>9.8706967408542179E-2</v>
      </c>
      <c r="C7" s="1" t="s">
        <v>16</v>
      </c>
      <c r="D7" s="24">
        <v>13</v>
      </c>
      <c r="E7" s="24">
        <v>6</v>
      </c>
      <c r="F7" s="24">
        <v>6</v>
      </c>
      <c r="G7" s="24">
        <v>24</v>
      </c>
      <c r="H7" s="24">
        <v>8</v>
      </c>
      <c r="I7" s="24">
        <v>23</v>
      </c>
      <c r="J7" s="24">
        <v>37</v>
      </c>
      <c r="K7" s="24">
        <v>179</v>
      </c>
      <c r="L7" s="1">
        <v>296</v>
      </c>
      <c r="M7" s="10">
        <v>2</v>
      </c>
      <c r="N7">
        <v>882</v>
      </c>
      <c r="O7">
        <v>5454</v>
      </c>
      <c r="P7" s="10">
        <v>2</v>
      </c>
      <c r="Q7">
        <v>2322.7775999999999</v>
      </c>
      <c r="R7">
        <v>4013.2224000000001</v>
      </c>
      <c r="S7" s="10">
        <v>2</v>
      </c>
      <c r="T7">
        <v>893.68869953875901</v>
      </c>
      <c r="U7">
        <v>517.25020090134046</v>
      </c>
      <c r="Y7" s="1" t="s">
        <v>16</v>
      </c>
      <c r="Z7">
        <v>296</v>
      </c>
      <c r="AA7">
        <v>24</v>
      </c>
      <c r="AB7">
        <v>272</v>
      </c>
      <c r="AC7" s="7"/>
    </row>
    <row r="8" spans="1:29">
      <c r="A8" t="s">
        <v>24</v>
      </c>
      <c r="B8" s="19">
        <v>9.8335089254796212E-2</v>
      </c>
      <c r="C8" s="1" t="s">
        <v>17</v>
      </c>
      <c r="D8" s="24">
        <v>200</v>
      </c>
      <c r="E8" s="24">
        <v>20</v>
      </c>
      <c r="F8" s="24">
        <v>49</v>
      </c>
      <c r="G8" s="24">
        <v>7</v>
      </c>
      <c r="H8" s="24">
        <v>37</v>
      </c>
      <c r="I8" s="24">
        <v>5</v>
      </c>
      <c r="J8" s="24">
        <v>201</v>
      </c>
      <c r="K8" s="24">
        <v>42</v>
      </c>
      <c r="L8" s="1">
        <v>561</v>
      </c>
      <c r="M8" s="10" t="s">
        <v>40</v>
      </c>
      <c r="N8">
        <v>1</v>
      </c>
      <c r="O8">
        <v>2</v>
      </c>
      <c r="P8" s="10" t="s">
        <v>40</v>
      </c>
      <c r="S8" s="10" t="s">
        <v>40</v>
      </c>
      <c r="Y8" s="1" t="s">
        <v>17</v>
      </c>
      <c r="Z8">
        <v>561</v>
      </c>
      <c r="AA8">
        <v>37</v>
      </c>
      <c r="AB8">
        <v>524</v>
      </c>
      <c r="AC8" s="7"/>
    </row>
    <row r="9" spans="1:29">
      <c r="C9" s="1" t="s">
        <v>18</v>
      </c>
      <c r="D9" s="24">
        <v>20</v>
      </c>
      <c r="E9" s="24">
        <v>2</v>
      </c>
      <c r="F9" s="24">
        <v>3</v>
      </c>
      <c r="G9" s="24">
        <v>27</v>
      </c>
      <c r="H9" s="24">
        <v>5</v>
      </c>
      <c r="I9" s="24">
        <v>25</v>
      </c>
      <c r="J9" s="24">
        <v>40</v>
      </c>
      <c r="K9" s="24">
        <v>192</v>
      </c>
      <c r="L9" s="1">
        <v>314</v>
      </c>
      <c r="M9" s="10">
        <v>1</v>
      </c>
      <c r="N9">
        <v>2732</v>
      </c>
      <c r="O9">
        <v>908</v>
      </c>
      <c r="P9" s="10">
        <v>1</v>
      </c>
      <c r="Q9">
        <v>1314.768</v>
      </c>
      <c r="R9">
        <v>2325.232</v>
      </c>
      <c r="S9" s="10">
        <v>1</v>
      </c>
      <c r="T9">
        <v>1527.6813413651685</v>
      </c>
      <c r="U9">
        <v>863.80479101612229</v>
      </c>
      <c r="V9" s="23">
        <v>3760.1983213542308</v>
      </c>
      <c r="W9">
        <v>1</v>
      </c>
      <c r="X9" s="23">
        <v>0</v>
      </c>
      <c r="Y9" s="1" t="s">
        <v>18</v>
      </c>
      <c r="Z9">
        <v>314</v>
      </c>
      <c r="AA9">
        <v>25</v>
      </c>
      <c r="AB9">
        <v>289</v>
      </c>
      <c r="AC9" s="7"/>
    </row>
    <row r="10" spans="1:29">
      <c r="A10" s="7"/>
      <c r="C10" s="1" t="s">
        <v>19</v>
      </c>
      <c r="D10" s="24">
        <v>53</v>
      </c>
      <c r="E10" s="24">
        <v>8</v>
      </c>
      <c r="F10" s="24">
        <v>185</v>
      </c>
      <c r="G10" s="24">
        <v>43</v>
      </c>
      <c r="H10" s="24">
        <v>202</v>
      </c>
      <c r="I10" s="24">
        <v>37</v>
      </c>
      <c r="J10" s="24">
        <v>1798</v>
      </c>
      <c r="K10" s="24">
        <v>424</v>
      </c>
      <c r="L10" s="1">
        <v>2750</v>
      </c>
      <c r="M10" s="10">
        <v>2</v>
      </c>
      <c r="N10">
        <v>880</v>
      </c>
      <c r="O10">
        <v>5480</v>
      </c>
      <c r="P10" s="10">
        <v>2</v>
      </c>
      <c r="Q10">
        <v>2297.232</v>
      </c>
      <c r="R10">
        <v>4062.768</v>
      </c>
      <c r="S10" s="10">
        <v>2</v>
      </c>
      <c r="T10">
        <v>874.33334631591413</v>
      </c>
      <c r="U10">
        <v>494.37884265702593</v>
      </c>
      <c r="Y10" s="1" t="s">
        <v>19</v>
      </c>
      <c r="Z10">
        <v>2750</v>
      </c>
      <c r="AA10">
        <v>1798</v>
      </c>
      <c r="AB10">
        <v>952</v>
      </c>
      <c r="AC10" s="7"/>
    </row>
    <row r="11" spans="1:29">
      <c r="A11" s="7">
        <v>0</v>
      </c>
      <c r="B11" s="6">
        <v>0</v>
      </c>
      <c r="C11" s="1" t="s">
        <v>20</v>
      </c>
      <c r="D11" s="24">
        <v>10</v>
      </c>
      <c r="E11" s="24">
        <v>20</v>
      </c>
      <c r="F11" s="24">
        <v>38</v>
      </c>
      <c r="G11" s="24">
        <v>197</v>
      </c>
      <c r="H11" s="24">
        <v>34</v>
      </c>
      <c r="I11" s="24">
        <v>186</v>
      </c>
      <c r="J11" s="24">
        <v>385</v>
      </c>
      <c r="K11" s="24">
        <v>1841</v>
      </c>
      <c r="L11" s="1">
        <v>2711</v>
      </c>
      <c r="M11" s="10" t="s">
        <v>41</v>
      </c>
      <c r="N11">
        <v>1</v>
      </c>
      <c r="O11">
        <v>2</v>
      </c>
      <c r="P11" s="10" t="s">
        <v>41</v>
      </c>
      <c r="S11" s="10" t="s">
        <v>41</v>
      </c>
      <c r="Y11" s="1" t="s">
        <v>20</v>
      </c>
      <c r="Z11">
        <v>2711</v>
      </c>
      <c r="AA11">
        <v>1841</v>
      </c>
      <c r="AB11">
        <v>870</v>
      </c>
      <c r="AC11" s="7"/>
    </row>
    <row r="12" spans="1:29">
      <c r="A12" s="7"/>
      <c r="B12" s="6"/>
      <c r="C12" s="1"/>
      <c r="D12" s="1">
        <v>2466</v>
      </c>
      <c r="E12" s="1">
        <v>292</v>
      </c>
      <c r="F12" s="1">
        <v>571</v>
      </c>
      <c r="G12" s="1">
        <v>337</v>
      </c>
      <c r="H12" s="1">
        <v>541</v>
      </c>
      <c r="I12" s="1">
        <v>313</v>
      </c>
      <c r="J12" s="1">
        <v>2723</v>
      </c>
      <c r="K12" s="1">
        <v>2757</v>
      </c>
      <c r="L12" s="1">
        <v>10000</v>
      </c>
      <c r="M12" s="10">
        <v>1</v>
      </c>
      <c r="N12">
        <v>5446</v>
      </c>
      <c r="O12">
        <v>918</v>
      </c>
      <c r="P12" s="10">
        <v>1</v>
      </c>
      <c r="Q12">
        <v>4009.9564</v>
      </c>
      <c r="R12">
        <v>2354.0436</v>
      </c>
      <c r="S12" s="10">
        <v>1</v>
      </c>
      <c r="T12">
        <v>514.27522281812344</v>
      </c>
      <c r="U12">
        <v>876.03357095890658</v>
      </c>
      <c r="V12" s="23">
        <v>3823.7315560424368</v>
      </c>
      <c r="W12">
        <v>1</v>
      </c>
      <c r="X12" s="23">
        <v>0</v>
      </c>
      <c r="Y12" s="1" t="s">
        <v>46</v>
      </c>
      <c r="Z12" s="7">
        <v>10000</v>
      </c>
      <c r="AA12" s="7">
        <v>5562</v>
      </c>
      <c r="AB12" s="7">
        <v>4438</v>
      </c>
      <c r="AC12" s="7"/>
    </row>
    <row r="13" spans="1:29">
      <c r="A13" s="7"/>
      <c r="C13" s="1" t="s">
        <v>25</v>
      </c>
      <c r="D13" s="4">
        <v>0.24359797656041443</v>
      </c>
      <c r="E13" s="4">
        <v>2.656666404768766E-2</v>
      </c>
      <c r="F13" s="4">
        <v>2.6678135371800651E-2</v>
      </c>
      <c r="G13" s="4">
        <v>2.9095030666873574E-3</v>
      </c>
      <c r="H13" s="4">
        <v>2.6200770913162842E-2</v>
      </c>
      <c r="I13" s="4">
        <v>2.857441956082066E-3</v>
      </c>
      <c r="J13" s="4">
        <v>2.8694315245822262E-3</v>
      </c>
      <c r="K13" s="4">
        <v>3.1293865572201994E-4</v>
      </c>
      <c r="M13" s="10">
        <v>2</v>
      </c>
      <c r="N13">
        <v>855</v>
      </c>
      <c r="O13">
        <v>2781</v>
      </c>
      <c r="P13" s="10">
        <v>2</v>
      </c>
      <c r="Q13">
        <v>2291.0436</v>
      </c>
      <c r="R13">
        <v>1344.9564</v>
      </c>
      <c r="S13" s="10">
        <v>2</v>
      </c>
      <c r="T13">
        <v>900.12307976197394</v>
      </c>
      <c r="U13">
        <v>1533.2996825034327</v>
      </c>
      <c r="AC13" s="7"/>
    </row>
    <row r="14" spans="1:29">
      <c r="A14" s="7"/>
      <c r="C14" s="1"/>
      <c r="D14" s="1" t="s">
        <v>13</v>
      </c>
      <c r="E14" s="1" t="s">
        <v>14</v>
      </c>
      <c r="F14" s="1" t="s">
        <v>15</v>
      </c>
      <c r="G14" s="1" t="s">
        <v>16</v>
      </c>
      <c r="H14" s="1" t="s">
        <v>17</v>
      </c>
      <c r="I14" s="1" t="s">
        <v>18</v>
      </c>
      <c r="J14" s="1" t="s">
        <v>19</v>
      </c>
      <c r="K14" s="1" t="s">
        <v>20</v>
      </c>
      <c r="L14" s="1"/>
      <c r="V14" s="7"/>
      <c r="W14" s="7"/>
      <c r="X14" s="7"/>
      <c r="Y14" s="7"/>
      <c r="Z14" s="7"/>
      <c r="AA14" s="7"/>
      <c r="AB14" s="7"/>
      <c r="AC14" s="7"/>
    </row>
    <row r="15" spans="1:29">
      <c r="A15" s="7"/>
      <c r="B15" s="4">
        <v>0.7337446203583522</v>
      </c>
      <c r="C15" s="1" t="s">
        <v>13</v>
      </c>
      <c r="D15" s="4">
        <v>0.17873870483138407</v>
      </c>
      <c r="E15" s="4">
        <v>1.9493146825858468E-2</v>
      </c>
      <c r="F15" s="4">
        <v>1.9574938310250596E-2</v>
      </c>
      <c r="G15" s="4">
        <v>2.1348322230979764E-3</v>
      </c>
      <c r="H15" s="4">
        <v>1.9224674706774827E-2</v>
      </c>
      <c r="I15" s="4">
        <v>2.0966326632614629E-3</v>
      </c>
      <c r="J15" s="4">
        <v>2.1054299446488733E-3</v>
      </c>
      <c r="K15" s="4">
        <v>2.296170551382066E-4</v>
      </c>
      <c r="AC15" s="7"/>
    </row>
    <row r="16" spans="1:29">
      <c r="A16" s="7"/>
      <c r="B16" s="4">
        <v>8.0021792878168643E-2</v>
      </c>
      <c r="C16" s="1" t="s">
        <v>14</v>
      </c>
      <c r="D16" s="4">
        <v>1.9493146825858464E-2</v>
      </c>
      <c r="E16" s="4">
        <v>2.1259120878879515E-3</v>
      </c>
      <c r="F16" s="4">
        <v>2.1348322230979764E-3</v>
      </c>
      <c r="G16" s="4">
        <v>2.3282365178085219E-4</v>
      </c>
      <c r="H16" s="4">
        <v>2.0966326632614624E-3</v>
      </c>
      <c r="I16" s="4">
        <v>2.2865762837098814E-4</v>
      </c>
      <c r="J16" s="4">
        <v>2.2961705513820658E-4</v>
      </c>
      <c r="K16" s="4">
        <v>2.5041912291760005E-5</v>
      </c>
      <c r="O16" s="8" t="s">
        <v>11</v>
      </c>
      <c r="P16">
        <v>75.7</v>
      </c>
      <c r="AC16" s="7"/>
    </row>
    <row r="17" spans="1:29">
      <c r="A17" s="7"/>
      <c r="B17" s="4">
        <v>8.0357557097342464E-2</v>
      </c>
      <c r="C17" s="1" t="s">
        <v>15</v>
      </c>
      <c r="D17" s="4">
        <v>1.9574938310250593E-2</v>
      </c>
      <c r="E17" s="4">
        <v>2.1348322230979764E-3</v>
      </c>
      <c r="F17" s="4">
        <v>2.1437897863901025E-3</v>
      </c>
      <c r="G17" s="4">
        <v>2.3380055880622231E-4</v>
      </c>
      <c r="H17" s="4">
        <v>2.1054299446488728E-3</v>
      </c>
      <c r="I17" s="4">
        <v>2.2961705513820655E-4</v>
      </c>
      <c r="J17" s="4">
        <v>2.3058050757353068E-4</v>
      </c>
      <c r="K17" s="4">
        <v>2.5146985895147814E-5</v>
      </c>
      <c r="O17" t="s">
        <v>103</v>
      </c>
      <c r="P17">
        <v>4.9392389975987223E-2</v>
      </c>
      <c r="AC17" s="7"/>
    </row>
    <row r="18" spans="1:29">
      <c r="A18" s="7"/>
      <c r="B18" s="4">
        <v>8.7637518720050586E-3</v>
      </c>
      <c r="C18" s="1" t="s">
        <v>16</v>
      </c>
      <c r="D18" s="4">
        <v>2.1348322230979764E-3</v>
      </c>
      <c r="E18" s="4">
        <v>2.3282365178085222E-4</v>
      </c>
      <c r="F18" s="4">
        <v>2.3380055880622234E-4</v>
      </c>
      <c r="G18" s="4">
        <v>2.5498162947285787E-5</v>
      </c>
      <c r="H18" s="4">
        <v>2.2961705513820655E-4</v>
      </c>
      <c r="I18" s="4">
        <v>2.5041912291760002E-5</v>
      </c>
      <c r="J18" s="4">
        <v>2.5146985895147814E-5</v>
      </c>
      <c r="K18" s="4">
        <v>2.7425167299065989E-6</v>
      </c>
      <c r="AC18" s="7"/>
    </row>
    <row r="19" spans="1:29">
      <c r="A19" s="7"/>
      <c r="B19" s="4">
        <v>7.8919681428498825E-2</v>
      </c>
      <c r="C19" s="1" t="s">
        <v>17</v>
      </c>
      <c r="D19" s="4">
        <v>1.922467470677483E-2</v>
      </c>
      <c r="E19" s="4">
        <v>2.0966326632614633E-3</v>
      </c>
      <c r="F19" s="4">
        <v>2.1054299446488733E-3</v>
      </c>
      <c r="G19" s="4">
        <v>2.2961705513820663E-4</v>
      </c>
      <c r="H19" s="4">
        <v>2.0677564936478899E-3</v>
      </c>
      <c r="I19" s="4">
        <v>2.2550840887442319E-4</v>
      </c>
      <c r="J19" s="4">
        <v>2.2645462180092098E-4</v>
      </c>
      <c r="K19" s="4">
        <v>2.4697019016244485E-5</v>
      </c>
      <c r="AC19" s="7"/>
    </row>
    <row r="20" spans="1:29">
      <c r="A20" s="7"/>
      <c r="B20" s="4">
        <v>8.606937926438317E-3</v>
      </c>
      <c r="C20" s="1" t="s">
        <v>18</v>
      </c>
      <c r="D20" s="4">
        <v>2.0966326632614633E-3</v>
      </c>
      <c r="E20" s="4">
        <v>2.2865762837098822E-4</v>
      </c>
      <c r="F20" s="4">
        <v>2.2961705513820663E-4</v>
      </c>
      <c r="G20" s="4">
        <v>2.5041912291760008E-5</v>
      </c>
      <c r="H20" s="4">
        <v>2.2550840887442317E-4</v>
      </c>
      <c r="I20" s="4">
        <v>2.4593825544398826E-5</v>
      </c>
      <c r="J20" s="4">
        <v>2.4697019016244485E-5</v>
      </c>
      <c r="K20" s="4">
        <v>2.6934435845824766E-6</v>
      </c>
      <c r="AC20" s="7"/>
    </row>
    <row r="21" spans="1:29">
      <c r="A21" s="7"/>
      <c r="B21" s="4">
        <v>8.6430518610104631E-3</v>
      </c>
      <c r="C21" s="1" t="s">
        <v>19</v>
      </c>
      <c r="D21" s="4">
        <v>2.1054299446488733E-3</v>
      </c>
      <c r="E21" s="4">
        <v>2.296170551382066E-4</v>
      </c>
      <c r="F21" s="4">
        <v>2.3058050757353068E-4</v>
      </c>
      <c r="G21" s="4">
        <v>2.5146985895147814E-5</v>
      </c>
      <c r="H21" s="4">
        <v>2.264546218009209E-4</v>
      </c>
      <c r="I21" s="4">
        <v>2.4697019016244479E-5</v>
      </c>
      <c r="J21" s="4">
        <v>2.48006454785825E-5</v>
      </c>
      <c r="K21" s="4">
        <v>2.704745030720317E-6</v>
      </c>
      <c r="M21" t="s">
        <v>62</v>
      </c>
      <c r="AC21" s="7"/>
    </row>
    <row r="22" spans="1:29">
      <c r="A22" s="7"/>
      <c r="B22" s="4">
        <v>9.4260657818419748E-4</v>
      </c>
      <c r="C22" s="1" t="s">
        <v>20</v>
      </c>
      <c r="D22" s="4">
        <v>2.296170551382066E-4</v>
      </c>
      <c r="E22" s="4">
        <v>2.5041912291760005E-5</v>
      </c>
      <c r="F22" s="4">
        <v>2.5146985895147814E-5</v>
      </c>
      <c r="G22" s="4">
        <v>2.7425167299065989E-6</v>
      </c>
      <c r="H22" s="4">
        <v>2.4697019016244479E-5</v>
      </c>
      <c r="I22" s="4">
        <v>2.6934435845824762E-6</v>
      </c>
      <c r="J22" s="4">
        <v>2.704745030720317E-6</v>
      </c>
      <c r="K22" s="4">
        <v>2.9497803545169586E-7</v>
      </c>
      <c r="AC22" s="7"/>
    </row>
    <row r="23" spans="1:29">
      <c r="A23" s="7"/>
      <c r="AC23" s="7"/>
    </row>
    <row r="24" spans="1:29">
      <c r="A24" s="7"/>
      <c r="C24" s="1" t="s">
        <v>26</v>
      </c>
      <c r="D24" s="4">
        <v>0</v>
      </c>
      <c r="E24" s="4">
        <v>0</v>
      </c>
      <c r="F24" s="4">
        <v>0</v>
      </c>
      <c r="G24" s="4">
        <v>0</v>
      </c>
      <c r="H24" s="4">
        <v>0</v>
      </c>
      <c r="I24" s="4">
        <v>0</v>
      </c>
      <c r="J24" s="4">
        <v>0</v>
      </c>
      <c r="K24" s="4">
        <v>0</v>
      </c>
      <c r="O24">
        <v>8.3435271191999991E-2</v>
      </c>
      <c r="P24">
        <v>4.8980648807999995E-2</v>
      </c>
      <c r="Q24">
        <v>0.14755938880800001</v>
      </c>
      <c r="R24">
        <v>8.6624691192000017E-2</v>
      </c>
      <c r="S24">
        <v>0.14415684880799998</v>
      </c>
      <c r="T24">
        <v>8.4627231191999996E-2</v>
      </c>
      <c r="U24">
        <v>0.25494849119200003</v>
      </c>
      <c r="V24">
        <v>0.14966742880800002</v>
      </c>
      <c r="AC24" s="7"/>
    </row>
    <row r="25" spans="1:29">
      <c r="A25" s="7"/>
      <c r="C25" s="1"/>
      <c r="D25" s="1" t="s">
        <v>13</v>
      </c>
      <c r="E25" s="1" t="s">
        <v>14</v>
      </c>
      <c r="F25" s="1" t="s">
        <v>15</v>
      </c>
      <c r="G25" s="1" t="s">
        <v>16</v>
      </c>
      <c r="H25" s="1" t="s">
        <v>17</v>
      </c>
      <c r="I25" s="1" t="s">
        <v>18</v>
      </c>
      <c r="J25" s="1" t="s">
        <v>19</v>
      </c>
      <c r="K25" s="1" t="s">
        <v>20</v>
      </c>
      <c r="L25" s="1"/>
      <c r="N25" s="7"/>
      <c r="O25" s="1" t="s">
        <v>13</v>
      </c>
      <c r="P25" s="1" t="s">
        <v>14</v>
      </c>
      <c r="Q25" s="1" t="s">
        <v>15</v>
      </c>
      <c r="R25" s="1" t="s">
        <v>16</v>
      </c>
      <c r="S25" s="1" t="s">
        <v>17</v>
      </c>
      <c r="T25" s="1" t="s">
        <v>18</v>
      </c>
      <c r="U25" s="1" t="s">
        <v>19</v>
      </c>
      <c r="V25" s="1" t="s">
        <v>20</v>
      </c>
      <c r="AC25" s="7"/>
    </row>
    <row r="26" spans="1:29">
      <c r="A26" s="7"/>
      <c r="B26" s="4">
        <v>8.0021792878168643E-2</v>
      </c>
      <c r="C26" s="1" t="s">
        <v>13</v>
      </c>
      <c r="D26" s="4">
        <v>0</v>
      </c>
      <c r="E26" s="4">
        <v>0</v>
      </c>
      <c r="F26" s="4">
        <v>0</v>
      </c>
      <c r="G26" s="4">
        <v>0</v>
      </c>
      <c r="H26" s="4">
        <v>0</v>
      </c>
      <c r="I26" s="4">
        <v>0</v>
      </c>
      <c r="J26" s="4">
        <v>0</v>
      </c>
      <c r="K26" s="4">
        <v>0</v>
      </c>
      <c r="M26" s="4">
        <v>8.4876413439999993E-2</v>
      </c>
      <c r="N26" s="1" t="s">
        <v>13</v>
      </c>
      <c r="O26">
        <v>7.0816865731707125E-3</v>
      </c>
      <c r="P26">
        <v>4.1573017987872503E-3</v>
      </c>
      <c r="Q26">
        <v>1.2524311691421517E-2</v>
      </c>
      <c r="R26">
        <v>7.352393103724519E-3</v>
      </c>
      <c r="S26">
        <v>1.2235516299635376E-2</v>
      </c>
      <c r="T26">
        <v>7.1828558629346553E-3</v>
      </c>
      <c r="U26">
        <v>2.1639113544316392E-2</v>
      </c>
      <c r="V26">
        <v>1.2703234566009575E-2</v>
      </c>
      <c r="AC26" s="7"/>
    </row>
    <row r="27" spans="1:29">
      <c r="A27" s="7"/>
      <c r="B27" s="4">
        <v>0.7337446203583522</v>
      </c>
      <c r="C27" s="1" t="s">
        <v>14</v>
      </c>
      <c r="D27" s="4">
        <v>0</v>
      </c>
      <c r="E27" s="4">
        <v>0</v>
      </c>
      <c r="F27" s="4">
        <v>0</v>
      </c>
      <c r="G27" s="4">
        <v>0</v>
      </c>
      <c r="H27" s="4">
        <v>0</v>
      </c>
      <c r="I27" s="4">
        <v>0</v>
      </c>
      <c r="J27" s="4">
        <v>0</v>
      </c>
      <c r="K27" s="4">
        <v>0</v>
      </c>
      <c r="M27" s="4">
        <v>4.8493186559999991E-2</v>
      </c>
      <c r="N27" s="1" t="s">
        <v>14</v>
      </c>
      <c r="O27">
        <v>4.0460421715978485E-3</v>
      </c>
      <c r="P27">
        <v>2.3752277404761849E-3</v>
      </c>
      <c r="Q27">
        <v>7.1556249701459195E-3</v>
      </c>
      <c r="R27">
        <v>4.2007073106760445E-3</v>
      </c>
      <c r="S27">
        <v>6.9906249631480552E-3</v>
      </c>
      <c r="T27">
        <v>4.1038441102499061E-3</v>
      </c>
      <c r="U27">
        <v>1.2363264746564172E-2</v>
      </c>
      <c r="V27">
        <v>7.2578505471418619E-3</v>
      </c>
      <c r="AC27" s="7"/>
    </row>
    <row r="28" spans="1:29">
      <c r="A28" s="7"/>
      <c r="B28" s="4">
        <v>8.7637518720050586E-3</v>
      </c>
      <c r="C28" s="1" t="s">
        <v>15</v>
      </c>
      <c r="D28" s="4">
        <v>0</v>
      </c>
      <c r="E28" s="4">
        <v>0</v>
      </c>
      <c r="F28" s="4">
        <v>0</v>
      </c>
      <c r="G28" s="4">
        <v>0</v>
      </c>
      <c r="H28" s="4">
        <v>0</v>
      </c>
      <c r="I28" s="4">
        <v>0</v>
      </c>
      <c r="J28" s="4">
        <v>0</v>
      </c>
      <c r="K28" s="4">
        <v>0</v>
      </c>
      <c r="M28" s="4">
        <v>0.14830054656</v>
      </c>
      <c r="N28" s="1" t="s">
        <v>15</v>
      </c>
      <c r="O28">
        <v>1.2373496320155421E-2</v>
      </c>
      <c r="P28">
        <v>7.2638569890898117E-3</v>
      </c>
      <c r="Q28">
        <v>2.1883138010285949E-2</v>
      </c>
      <c r="R28">
        <v>1.284648904936482E-2</v>
      </c>
      <c r="S28">
        <v>2.137853946859368E-2</v>
      </c>
      <c r="T28">
        <v>1.2550264639633079E-2</v>
      </c>
      <c r="U28">
        <v>3.7809000588420946E-2</v>
      </c>
      <c r="V28">
        <v>2.2195761494456293E-2</v>
      </c>
      <c r="AC28" s="7"/>
    </row>
    <row r="29" spans="1:29">
      <c r="A29" s="7"/>
      <c r="B29" s="4">
        <v>8.0357557097342464E-2</v>
      </c>
      <c r="C29" s="1" t="s">
        <v>16</v>
      </c>
      <c r="D29" s="4">
        <v>0</v>
      </c>
      <c r="E29" s="4">
        <v>0</v>
      </c>
      <c r="F29" s="4">
        <v>0</v>
      </c>
      <c r="G29" s="4">
        <v>0</v>
      </c>
      <c r="H29" s="4">
        <v>0</v>
      </c>
      <c r="I29" s="4">
        <v>0</v>
      </c>
      <c r="J29" s="4">
        <v>0</v>
      </c>
      <c r="K29" s="4">
        <v>0</v>
      </c>
      <c r="M29" s="4">
        <v>8.4729853439999989E-2</v>
      </c>
      <c r="N29" s="1" t="s">
        <v>16</v>
      </c>
      <c r="O29">
        <v>7.0694582998248124E-3</v>
      </c>
      <c r="P29">
        <v>4.1501231948979497E-3</v>
      </c>
      <c r="Q29">
        <v>1.2502685387397816E-2</v>
      </c>
      <c r="R29">
        <v>7.3396973889834193E-3</v>
      </c>
      <c r="S29">
        <v>1.2214388671874075E-2</v>
      </c>
      <c r="T29">
        <v>7.1704528959311556E-3</v>
      </c>
      <c r="U29">
        <v>2.1601748293447291E-2</v>
      </c>
      <c r="V29">
        <v>1.2681299307643473E-2</v>
      </c>
      <c r="AC29" s="7"/>
    </row>
    <row r="30" spans="1:29">
      <c r="A30" s="7"/>
      <c r="B30" s="4">
        <v>8.606937926438317E-3</v>
      </c>
      <c r="C30" s="1" t="s">
        <v>17</v>
      </c>
      <c r="D30" s="4">
        <v>0</v>
      </c>
      <c r="E30" s="4">
        <v>0</v>
      </c>
      <c r="F30" s="4">
        <v>0</v>
      </c>
      <c r="G30" s="4">
        <v>0</v>
      </c>
      <c r="H30" s="4">
        <v>0</v>
      </c>
      <c r="I30" s="4">
        <v>0</v>
      </c>
      <c r="J30" s="4">
        <v>0</v>
      </c>
      <c r="K30" s="4">
        <v>0</v>
      </c>
      <c r="M30" s="4">
        <v>0.14677318656000002</v>
      </c>
      <c r="N30" s="1" t="s">
        <v>17</v>
      </c>
      <c r="O30">
        <v>1.224606062434761E-2</v>
      </c>
      <c r="P30">
        <v>7.1890459053264256E-3</v>
      </c>
      <c r="Q30">
        <v>2.1657761702196163E-2</v>
      </c>
      <c r="R30">
        <v>1.2714181961025809E-2</v>
      </c>
      <c r="S30">
        <v>2.1158360063998297E-2</v>
      </c>
      <c r="T30">
        <v>1.2421008391799668E-2</v>
      </c>
      <c r="U30">
        <v>3.7419602460913942E-2</v>
      </c>
      <c r="V30">
        <v>2.1967165450392109E-2</v>
      </c>
      <c r="AC30" s="7"/>
    </row>
    <row r="31" spans="1:29">
      <c r="A31" s="7"/>
      <c r="B31" s="4">
        <v>7.8919681428498825E-2</v>
      </c>
      <c r="C31" s="1" t="s">
        <v>18</v>
      </c>
      <c r="D31" s="4">
        <v>0</v>
      </c>
      <c r="E31" s="4">
        <v>0</v>
      </c>
      <c r="F31" s="4">
        <v>0</v>
      </c>
      <c r="G31" s="4">
        <v>0</v>
      </c>
      <c r="H31" s="4">
        <v>0</v>
      </c>
      <c r="I31" s="4">
        <v>0</v>
      </c>
      <c r="J31" s="4">
        <v>0</v>
      </c>
      <c r="K31" s="4">
        <v>0</v>
      </c>
      <c r="M31" s="4">
        <v>8.3857213439999995E-2</v>
      </c>
      <c r="N31" s="1" t="s">
        <v>18</v>
      </c>
      <c r="O31">
        <v>6.9966493447718263E-3</v>
      </c>
      <c r="P31">
        <v>4.1073807215221371E-3</v>
      </c>
      <c r="Q31">
        <v>1.2373919162348404E-2</v>
      </c>
      <c r="R31">
        <v>7.2641052184616332E-3</v>
      </c>
      <c r="S31">
        <v>1.2088591639330263E-2</v>
      </c>
      <c r="T31">
        <v>7.0966037889037686E-3</v>
      </c>
      <c r="U31">
        <v>2.1379270042093505E-2</v>
      </c>
      <c r="V31">
        <v>1.2550693522568462E-2</v>
      </c>
      <c r="AC31" s="7"/>
    </row>
    <row r="32" spans="1:29">
      <c r="A32" s="7"/>
      <c r="B32" s="4">
        <v>9.4260657818419748E-4</v>
      </c>
      <c r="C32" s="1" t="s">
        <v>19</v>
      </c>
      <c r="D32" s="4">
        <v>0</v>
      </c>
      <c r="E32" s="4">
        <v>0</v>
      </c>
      <c r="F32" s="4">
        <v>0</v>
      </c>
      <c r="G32" s="4">
        <v>0</v>
      </c>
      <c r="H32" s="4">
        <v>0</v>
      </c>
      <c r="I32" s="4">
        <v>0</v>
      </c>
      <c r="J32" s="4">
        <v>0</v>
      </c>
      <c r="K32" s="4">
        <v>0</v>
      </c>
      <c r="M32" s="4">
        <v>0.25644985344000004</v>
      </c>
      <c r="N32" s="1" t="s">
        <v>19</v>
      </c>
      <c r="O32">
        <v>2.1396963068915056E-2</v>
      </c>
      <c r="P32">
        <v>1.2561080208207712E-2</v>
      </c>
      <c r="Q32">
        <v>3.7841583633507585E-2</v>
      </c>
      <c r="R32">
        <v>2.2214889360473666E-2</v>
      </c>
      <c r="S32">
        <v>3.6969002749183841E-2</v>
      </c>
      <c r="T32">
        <v>2.1702641036221399E-2</v>
      </c>
      <c r="U32">
        <v>6.5381503200937552E-2</v>
      </c>
      <c r="V32">
        <v>3.8382190182553247E-2</v>
      </c>
      <c r="AC32" s="7"/>
    </row>
    <row r="33" spans="1:29">
      <c r="A33" s="7"/>
      <c r="B33" s="4">
        <v>8.6430518610104631E-3</v>
      </c>
      <c r="C33" s="1" t="s">
        <v>20</v>
      </c>
      <c r="D33" s="4">
        <v>0</v>
      </c>
      <c r="E33" s="4">
        <v>0</v>
      </c>
      <c r="F33" s="4">
        <v>0</v>
      </c>
      <c r="G33" s="4">
        <v>0</v>
      </c>
      <c r="H33" s="4">
        <v>0</v>
      </c>
      <c r="I33" s="4">
        <v>0</v>
      </c>
      <c r="J33" s="4">
        <v>0</v>
      </c>
      <c r="K33" s="4">
        <v>0</v>
      </c>
      <c r="M33" s="4">
        <v>0.14651974656</v>
      </c>
      <c r="N33" s="1" t="s">
        <v>20</v>
      </c>
      <c r="O33">
        <v>1.2224914789216708E-2</v>
      </c>
      <c r="P33">
        <v>7.176632249692525E-3</v>
      </c>
      <c r="Q33">
        <v>2.1620364250696661E-2</v>
      </c>
      <c r="R33">
        <v>1.2692227799290107E-2</v>
      </c>
      <c r="S33">
        <v>2.1121824952236395E-2</v>
      </c>
      <c r="T33">
        <v>1.2399560466326365E-2</v>
      </c>
      <c r="U33">
        <v>3.7354988315306238E-2</v>
      </c>
      <c r="V33">
        <v>2.1929233737235005E-2</v>
      </c>
      <c r="AC33" s="7"/>
    </row>
    <row r="34" spans="1:29">
      <c r="A34" s="7"/>
      <c r="X34" t="s">
        <v>86</v>
      </c>
      <c r="AC34" s="7"/>
    </row>
    <row r="35" spans="1:29">
      <c r="A35" s="7"/>
      <c r="C35" s="1" t="s">
        <v>27</v>
      </c>
      <c r="D35" s="4">
        <v>8.8447334399360147E-5</v>
      </c>
      <c r="E35" s="4">
        <v>9.6460186249475286E-6</v>
      </c>
      <c r="F35" s="4">
        <v>8.0761235339635523E-4</v>
      </c>
      <c r="G35" s="4">
        <v>8.8077768035656087E-5</v>
      </c>
      <c r="H35" s="4">
        <v>9.5131674704318028E-6</v>
      </c>
      <c r="I35" s="4">
        <v>1.0375009176386665E-6</v>
      </c>
      <c r="J35" s="4">
        <v>8.6864704529802757E-5</v>
      </c>
      <c r="K35" s="4">
        <v>9.4734178642596031E-6</v>
      </c>
      <c r="P35" t="s">
        <v>63</v>
      </c>
      <c r="AA35" t="s">
        <v>44</v>
      </c>
      <c r="AC35" s="7"/>
    </row>
    <row r="36" spans="1:29">
      <c r="A36" s="7"/>
      <c r="C36" s="1"/>
      <c r="D36" s="1" t="s">
        <v>13</v>
      </c>
      <c r="E36" s="1" t="s">
        <v>14</v>
      </c>
      <c r="F36" s="1" t="s">
        <v>15</v>
      </c>
      <c r="G36" s="1" t="s">
        <v>16</v>
      </c>
      <c r="H36" s="1" t="s">
        <v>17</v>
      </c>
      <c r="I36" s="1" t="s">
        <v>18</v>
      </c>
      <c r="J36" s="1" t="s">
        <v>19</v>
      </c>
      <c r="K36" s="1" t="s">
        <v>20</v>
      </c>
      <c r="L36" s="1"/>
      <c r="O36" s="1" t="s">
        <v>13</v>
      </c>
      <c r="P36" s="1" t="s">
        <v>14</v>
      </c>
      <c r="Q36" s="1" t="s">
        <v>15</v>
      </c>
      <c r="R36" s="1" t="s">
        <v>16</v>
      </c>
      <c r="S36" s="1" t="s">
        <v>17</v>
      </c>
      <c r="T36" s="1" t="s">
        <v>18</v>
      </c>
      <c r="U36" s="1" t="s">
        <v>19</v>
      </c>
      <c r="V36" s="1" t="s">
        <v>20</v>
      </c>
      <c r="X36" s="1" t="s">
        <v>47</v>
      </c>
      <c r="Y36" s="1" t="s">
        <v>48</v>
      </c>
      <c r="Z36" s="1" t="s">
        <v>66</v>
      </c>
      <c r="AC36" s="7"/>
    </row>
    <row r="37" spans="1:29">
      <c r="A37" s="7"/>
      <c r="B37" s="4">
        <v>8.0357557097342464E-2</v>
      </c>
      <c r="C37" s="1" t="s">
        <v>13</v>
      </c>
      <c r="D37" s="4">
        <v>7.1074117241043253E-6</v>
      </c>
      <c r="E37" s="4">
        <v>7.7513049241624985E-7</v>
      </c>
      <c r="F37" s="4">
        <v>6.489775580056673E-5</v>
      </c>
      <c r="G37" s="4">
        <v>7.0777142739317189E-6</v>
      </c>
      <c r="H37" s="4">
        <v>7.6445489818180453E-7</v>
      </c>
      <c r="I37" s="4">
        <v>8.337103922769435E-8</v>
      </c>
      <c r="J37" s="4">
        <v>6.9802354539974078E-6</v>
      </c>
      <c r="K37" s="4">
        <v>7.6126071693422517E-7</v>
      </c>
      <c r="N37" s="1" t="s">
        <v>13</v>
      </c>
      <c r="O37" s="5">
        <v>70.816865731707125</v>
      </c>
      <c r="P37" s="5">
        <v>41.573017987872504</v>
      </c>
      <c r="Q37" s="5">
        <v>125.24311691421516</v>
      </c>
      <c r="R37" s="5">
        <v>73.523931037245191</v>
      </c>
      <c r="S37" s="5">
        <v>122.35516299635376</v>
      </c>
      <c r="T37" s="5">
        <v>71.82855862934656</v>
      </c>
      <c r="U37" s="5">
        <v>216.39113544316393</v>
      </c>
      <c r="V37" s="5">
        <v>127.03234566009576</v>
      </c>
      <c r="X37">
        <v>848.76413439999999</v>
      </c>
      <c r="Y37">
        <v>70.816865731707125</v>
      </c>
      <c r="Z37">
        <v>777.94726866829285</v>
      </c>
      <c r="AA37">
        <v>40530.690857079608</v>
      </c>
      <c r="AB37">
        <v>11.105116118840003</v>
      </c>
      <c r="AC37" s="7"/>
    </row>
    <row r="38" spans="1:29">
      <c r="A38" s="7"/>
      <c r="B38" s="4">
        <v>8.7637518720050586E-3</v>
      </c>
      <c r="C38" s="1" t="s">
        <v>14</v>
      </c>
      <c r="D38" s="4">
        <v>7.7513049241624995E-7</v>
      </c>
      <c r="E38" s="4">
        <v>8.453531378177956E-8</v>
      </c>
      <c r="F38" s="4">
        <v>7.0777142739317189E-6</v>
      </c>
      <c r="G38" s="4">
        <v>7.7189170450450833E-7</v>
      </c>
      <c r="H38" s="4">
        <v>8.3371039227694336E-8</v>
      </c>
      <c r="I38" s="4">
        <v>9.0924006091628301E-9</v>
      </c>
      <c r="J38" s="4">
        <v>7.6126071693422517E-7</v>
      </c>
      <c r="K38" s="4">
        <v>8.3022683542191259E-8</v>
      </c>
      <c r="N38" s="1" t="s">
        <v>14</v>
      </c>
      <c r="O38" s="5">
        <v>40.460421715978484</v>
      </c>
      <c r="P38" s="5">
        <v>23.752277404761848</v>
      </c>
      <c r="Q38" s="5">
        <v>71.556249701459194</v>
      </c>
      <c r="R38" s="5">
        <v>42.007073106760444</v>
      </c>
      <c r="S38" s="5">
        <v>69.906249631480549</v>
      </c>
      <c r="T38" s="5">
        <v>41.038441102499064</v>
      </c>
      <c r="U38" s="5">
        <v>123.63264746564172</v>
      </c>
      <c r="V38" s="5">
        <v>72.578505471418623</v>
      </c>
      <c r="X38">
        <v>484.93186559999987</v>
      </c>
      <c r="Y38">
        <v>23.752277404761848</v>
      </c>
      <c r="Z38">
        <v>461.17958819523801</v>
      </c>
      <c r="AA38">
        <v>0.31891808872373539</v>
      </c>
      <c r="AB38">
        <v>60.603321188832176</v>
      </c>
      <c r="AC38" s="7"/>
    </row>
    <row r="39" spans="1:29">
      <c r="A39" s="7"/>
      <c r="B39" s="4">
        <v>0.7337446203583522</v>
      </c>
      <c r="C39" s="1" t="s">
        <v>15</v>
      </c>
      <c r="D39" s="4">
        <v>6.489775580056673E-5</v>
      </c>
      <c r="E39" s="4">
        <v>7.0777142739317189E-6</v>
      </c>
      <c r="F39" s="4">
        <v>5.9258121963952403E-4</v>
      </c>
      <c r="G39" s="4">
        <v>6.4626588469333485E-5</v>
      </c>
      <c r="H39" s="4">
        <v>6.9802354539974087E-6</v>
      </c>
      <c r="I39" s="4">
        <v>7.6126071693422539E-7</v>
      </c>
      <c r="J39" s="4">
        <v>6.3736509647760559E-5</v>
      </c>
      <c r="K39" s="4">
        <v>6.9510693943071943E-6</v>
      </c>
      <c r="N39" s="1" t="s">
        <v>15</v>
      </c>
      <c r="O39" s="5">
        <v>123.73496320155421</v>
      </c>
      <c r="P39" s="5">
        <v>72.638569890898111</v>
      </c>
      <c r="Q39" s="5">
        <v>218.8313801028595</v>
      </c>
      <c r="R39" s="5">
        <v>128.4648904936482</v>
      </c>
      <c r="S39" s="5">
        <v>213.78539468593681</v>
      </c>
      <c r="T39" s="5">
        <v>125.50264639633079</v>
      </c>
      <c r="U39" s="5">
        <v>378.09000588420946</v>
      </c>
      <c r="V39" s="5">
        <v>221.95761494456292</v>
      </c>
      <c r="X39">
        <v>1483.0054656</v>
      </c>
      <c r="Y39">
        <v>218.8313801028595</v>
      </c>
      <c r="Z39">
        <v>1264.1740854971404</v>
      </c>
      <c r="AA39">
        <v>128.71724399851024</v>
      </c>
      <c r="AB39">
        <v>401.20418055732682</v>
      </c>
      <c r="AC39" s="7"/>
    </row>
    <row r="40" spans="1:29">
      <c r="A40" s="7"/>
      <c r="B40" s="4">
        <v>8.0021792878168643E-2</v>
      </c>
      <c r="C40" s="1" t="s">
        <v>16</v>
      </c>
      <c r="D40" s="4">
        <v>7.077714273931718E-6</v>
      </c>
      <c r="E40" s="4">
        <v>7.7189170450450823E-7</v>
      </c>
      <c r="F40" s="4">
        <v>6.4626588469333471E-5</v>
      </c>
      <c r="G40" s="4">
        <v>7.0481409109206544E-6</v>
      </c>
      <c r="H40" s="4">
        <v>7.6126071693422528E-7</v>
      </c>
      <c r="I40" s="4">
        <v>8.3022683542191272E-8</v>
      </c>
      <c r="J40" s="4">
        <v>6.9510693943071934E-6</v>
      </c>
      <c r="K40" s="4">
        <v>7.5807988218212475E-7</v>
      </c>
      <c r="N40" s="1" t="s">
        <v>16</v>
      </c>
      <c r="O40" s="5">
        <v>70.694582998248123</v>
      </c>
      <c r="P40" s="5">
        <v>41.501231948979495</v>
      </c>
      <c r="Q40" s="5">
        <v>125.02685387397817</v>
      </c>
      <c r="R40" s="5">
        <v>73.3969738898342</v>
      </c>
      <c r="S40" s="5">
        <v>122.14388671874075</v>
      </c>
      <c r="T40" s="5">
        <v>71.70452895931156</v>
      </c>
      <c r="U40" s="5">
        <v>216.01748293447292</v>
      </c>
      <c r="V40" s="5">
        <v>126.81299307643474</v>
      </c>
      <c r="X40">
        <v>847.29853439999999</v>
      </c>
      <c r="Y40">
        <v>73.3969738898342</v>
      </c>
      <c r="Z40">
        <v>773.90156051016584</v>
      </c>
      <c r="AA40">
        <v>33.244708877717379</v>
      </c>
      <c r="AB40">
        <v>325.50028233110237</v>
      </c>
      <c r="AC40" s="7"/>
    </row>
    <row r="41" spans="1:29">
      <c r="A41" s="7"/>
      <c r="B41" s="4">
        <v>8.6430518610104631E-3</v>
      </c>
      <c r="C41" s="1" t="s">
        <v>17</v>
      </c>
      <c r="D41" s="4">
        <v>7.6445489818180442E-7</v>
      </c>
      <c r="E41" s="4">
        <v>8.3371039227694323E-8</v>
      </c>
      <c r="F41" s="4">
        <v>6.9802354539974078E-6</v>
      </c>
      <c r="G41" s="4">
        <v>7.6126071693422528E-7</v>
      </c>
      <c r="H41" s="4">
        <v>8.2222799809419794E-8</v>
      </c>
      <c r="I41" s="4">
        <v>8.9671742369969394E-9</v>
      </c>
      <c r="J41" s="4">
        <v>7.5077614614243574E-7</v>
      </c>
      <c r="K41" s="4">
        <v>8.1879241901818736E-8</v>
      </c>
      <c r="N41" s="1" t="s">
        <v>17</v>
      </c>
      <c r="O41" s="5">
        <v>122.46060624347609</v>
      </c>
      <c r="P41" s="5">
        <v>71.890459053264252</v>
      </c>
      <c r="Q41" s="5">
        <v>216.57761702196163</v>
      </c>
      <c r="R41" s="5">
        <v>127.1418196102581</v>
      </c>
      <c r="S41" s="5">
        <v>211.58360063998296</v>
      </c>
      <c r="T41" s="5">
        <v>124.21008391799668</v>
      </c>
      <c r="U41" s="5">
        <v>374.19602460913944</v>
      </c>
      <c r="V41" s="5">
        <v>219.6716545039211</v>
      </c>
      <c r="X41">
        <v>1467.7318656000002</v>
      </c>
      <c r="Y41">
        <v>211.58360063998296</v>
      </c>
      <c r="Z41">
        <v>1256.1482649600173</v>
      </c>
      <c r="AA41">
        <v>144.05385634911707</v>
      </c>
      <c r="AB41">
        <v>426.73392690712797</v>
      </c>
      <c r="AC41" s="7"/>
    </row>
    <row r="42" spans="1:29">
      <c r="A42" s="7"/>
      <c r="B42" s="4">
        <v>9.4260657818419748E-4</v>
      </c>
      <c r="C42" s="1" t="s">
        <v>18</v>
      </c>
      <c r="D42" s="4">
        <v>8.3371039227694323E-8</v>
      </c>
      <c r="E42" s="4">
        <v>9.0924006091628285E-9</v>
      </c>
      <c r="F42" s="4">
        <v>7.6126071693422528E-7</v>
      </c>
      <c r="G42" s="4">
        <v>8.3022683542191272E-8</v>
      </c>
      <c r="H42" s="4">
        <v>8.9671742369969394E-9</v>
      </c>
      <c r="I42" s="4">
        <v>9.7795518983834831E-10</v>
      </c>
      <c r="J42" s="4">
        <v>8.1879241901818736E-8</v>
      </c>
      <c r="K42" s="4">
        <v>8.9297059967387926E-9</v>
      </c>
      <c r="N42" s="1" t="s">
        <v>18</v>
      </c>
      <c r="O42" s="5">
        <v>69.966493447718264</v>
      </c>
      <c r="P42" s="5">
        <v>41.073807215221372</v>
      </c>
      <c r="Q42" s="5">
        <v>123.73919162348405</v>
      </c>
      <c r="R42" s="5">
        <v>72.641052184616328</v>
      </c>
      <c r="S42" s="5">
        <v>120.88591639330264</v>
      </c>
      <c r="T42" s="5">
        <v>70.966037889037693</v>
      </c>
      <c r="U42" s="5">
        <v>213.79270042093503</v>
      </c>
      <c r="V42" s="5">
        <v>125.50693522568463</v>
      </c>
      <c r="X42">
        <v>838.5721344000001</v>
      </c>
      <c r="Y42">
        <v>70.966037889037693</v>
      </c>
      <c r="Z42">
        <v>767.6060965109624</v>
      </c>
      <c r="AA42">
        <v>29.773067541408146</v>
      </c>
      <c r="AB42">
        <v>298.41320523460604</v>
      </c>
      <c r="AC42" s="7"/>
    </row>
    <row r="43" spans="1:29">
      <c r="A43" s="7"/>
      <c r="B43" s="4">
        <v>7.8919681428498825E-2</v>
      </c>
      <c r="C43" s="1" t="s">
        <v>19</v>
      </c>
      <c r="D43" s="4">
        <v>6.9802354539974087E-6</v>
      </c>
      <c r="E43" s="4">
        <v>7.6126071693422528E-7</v>
      </c>
      <c r="F43" s="4">
        <v>6.3736509647760572E-5</v>
      </c>
      <c r="G43" s="4">
        <v>6.9510693943071951E-6</v>
      </c>
      <c r="H43" s="4">
        <v>7.5077614614243584E-7</v>
      </c>
      <c r="I43" s="4">
        <v>8.1879241901818763E-8</v>
      </c>
      <c r="J43" s="4">
        <v>6.8553348088727128E-6</v>
      </c>
      <c r="K43" s="4">
        <v>7.4763911988641762E-7</v>
      </c>
      <c r="N43" s="1" t="s">
        <v>19</v>
      </c>
      <c r="O43" s="5">
        <v>213.96963068915056</v>
      </c>
      <c r="P43" s="5">
        <v>125.61080208207711</v>
      </c>
      <c r="Q43" s="5">
        <v>378.41583633507582</v>
      </c>
      <c r="R43" s="5">
        <v>222.14889360473666</v>
      </c>
      <c r="S43" s="5">
        <v>369.69002749183841</v>
      </c>
      <c r="T43" s="5">
        <v>217.02641036221399</v>
      </c>
      <c r="U43" s="5">
        <v>653.8150320093755</v>
      </c>
      <c r="V43" s="5">
        <v>383.82190182553245</v>
      </c>
      <c r="X43">
        <v>2564.4985344000006</v>
      </c>
      <c r="Y43">
        <v>653.8150320093755</v>
      </c>
      <c r="Z43">
        <v>1910.6835023906251</v>
      </c>
      <c r="AA43">
        <v>2002.33885255323</v>
      </c>
      <c r="AB43">
        <v>481.01847145590619</v>
      </c>
      <c r="AC43" s="7"/>
    </row>
    <row r="44" spans="1:29">
      <c r="A44" s="7"/>
      <c r="B44" s="4">
        <v>8.606937926438317E-3</v>
      </c>
      <c r="C44" s="1" t="s">
        <v>20</v>
      </c>
      <c r="D44" s="4">
        <v>7.6126071693422528E-7</v>
      </c>
      <c r="E44" s="4">
        <v>8.3022683542191272E-8</v>
      </c>
      <c r="F44" s="4">
        <v>6.9510693943071951E-6</v>
      </c>
      <c r="G44" s="4">
        <v>7.5807988218212486E-7</v>
      </c>
      <c r="H44" s="4">
        <v>8.1879241901818749E-8</v>
      </c>
      <c r="I44" s="4">
        <v>8.9297059967387959E-9</v>
      </c>
      <c r="J44" s="4">
        <v>7.4763911988641762E-7</v>
      </c>
      <c r="K44" s="4">
        <v>8.1537119508894264E-8</v>
      </c>
      <c r="N44" s="1" t="s">
        <v>20</v>
      </c>
      <c r="O44" s="5">
        <v>122.24914789216707</v>
      </c>
      <c r="P44" s="5">
        <v>71.766322496925255</v>
      </c>
      <c r="Q44" s="5">
        <v>216.20364250696662</v>
      </c>
      <c r="R44" s="5">
        <v>126.92227799290107</v>
      </c>
      <c r="S44" s="5">
        <v>211.21824952236395</v>
      </c>
      <c r="T44" s="5">
        <v>123.99560466326365</v>
      </c>
      <c r="U44" s="5">
        <v>373.54988315306235</v>
      </c>
      <c r="V44" s="5">
        <v>219.29233737235006</v>
      </c>
      <c r="X44">
        <v>1465.1974656000002</v>
      </c>
      <c r="Y44">
        <v>219.29233737235006</v>
      </c>
      <c r="Z44">
        <v>1245.90512822765</v>
      </c>
      <c r="AA44">
        <v>11992.830094011468</v>
      </c>
      <c r="AB44">
        <v>113.41526912956652</v>
      </c>
      <c r="AC44" s="7"/>
    </row>
    <row r="45" spans="1:29">
      <c r="A45" s="7"/>
      <c r="X45" s="9">
        <v>10000.000000000002</v>
      </c>
      <c r="Y45" s="9">
        <v>1542.4545050399088</v>
      </c>
      <c r="Z45" s="9">
        <v>8457.5454949600917</v>
      </c>
      <c r="AA45" s="9">
        <v>54861.967598499774</v>
      </c>
      <c r="AB45" s="9">
        <v>2117.9937729233084</v>
      </c>
      <c r="AC45" s="7"/>
    </row>
    <row r="46" spans="1:29">
      <c r="A46" s="7"/>
      <c r="C46" s="1" t="s">
        <v>28</v>
      </c>
      <c r="D46" s="4">
        <v>1.8541318558781656E-6</v>
      </c>
      <c r="E46" s="4">
        <v>1.7001109644680415E-5</v>
      </c>
      <c r="F46" s="4">
        <v>1.6930072588414262E-5</v>
      </c>
      <c r="G46" s="4">
        <v>1.5523708276491769E-4</v>
      </c>
      <c r="H46" s="4">
        <v>1.994256466519257E-7</v>
      </c>
      <c r="I46" s="4">
        <v>1.828595562900176E-6</v>
      </c>
      <c r="J46" s="4">
        <v>1.8209550001013575E-6</v>
      </c>
      <c r="K46" s="4">
        <v>1.6696900771433847E-5</v>
      </c>
      <c r="P46" t="s">
        <v>70</v>
      </c>
      <c r="AB46" s="21">
        <v>56979.96137142308</v>
      </c>
      <c r="AC46" s="7"/>
    </row>
    <row r="47" spans="1:29">
      <c r="A47" s="7"/>
      <c r="C47" s="1"/>
      <c r="D47" s="1" t="s">
        <v>13</v>
      </c>
      <c r="E47" s="1" t="s">
        <v>14</v>
      </c>
      <c r="F47" s="1" t="s">
        <v>15</v>
      </c>
      <c r="G47" s="1" t="s">
        <v>16</v>
      </c>
      <c r="H47" s="1" t="s">
        <v>17</v>
      </c>
      <c r="I47" s="1" t="s">
        <v>18</v>
      </c>
      <c r="J47" s="1" t="s">
        <v>19</v>
      </c>
      <c r="K47" s="1" t="s">
        <v>20</v>
      </c>
      <c r="L47" s="1"/>
      <c r="O47" s="1" t="s">
        <v>13</v>
      </c>
      <c r="P47" s="1" t="s">
        <v>14</v>
      </c>
      <c r="Q47" s="1" t="s">
        <v>15</v>
      </c>
      <c r="R47" s="1" t="s">
        <v>16</v>
      </c>
      <c r="S47" s="1" t="s">
        <v>17</v>
      </c>
      <c r="T47" s="1" t="s">
        <v>18</v>
      </c>
      <c r="U47" s="1" t="s">
        <v>19</v>
      </c>
      <c r="V47" s="1" t="s">
        <v>20</v>
      </c>
      <c r="Z47" t="s">
        <v>68</v>
      </c>
      <c r="AC47" s="7"/>
    </row>
    <row r="48" spans="1:29">
      <c r="A48" s="7"/>
      <c r="B48" s="4">
        <v>8.7637518720050586E-3</v>
      </c>
      <c r="C48" s="1" t="s">
        <v>13</v>
      </c>
      <c r="D48" s="4">
        <v>1.6249151522896488E-8</v>
      </c>
      <c r="E48" s="4">
        <v>1.4899350647473123E-7</v>
      </c>
      <c r="F48" s="4">
        <v>1.4837095533989701E-7</v>
      </c>
      <c r="G48" s="4">
        <v>1.3604592746856516E-6</v>
      </c>
      <c r="H48" s="4">
        <v>1.7477168841716331E-9</v>
      </c>
      <c r="I48" s="4">
        <v>1.602535778750656E-8</v>
      </c>
      <c r="J48" s="4">
        <v>1.5958397790975242E-8</v>
      </c>
      <c r="K48" s="4">
        <v>1.4632749539233609E-7</v>
      </c>
      <c r="N48" s="1" t="s">
        <v>13</v>
      </c>
      <c r="O48">
        <v>40530.690857079608</v>
      </c>
      <c r="P48">
        <v>515.73982594755432</v>
      </c>
      <c r="Q48">
        <v>73.212651395327384</v>
      </c>
      <c r="R48">
        <v>24.594505290316398</v>
      </c>
      <c r="S48">
        <v>23.519796522469036</v>
      </c>
      <c r="T48">
        <v>26.743437264815739</v>
      </c>
      <c r="U48">
        <v>158.8321676417884</v>
      </c>
      <c r="V48">
        <v>107.81954674246869</v>
      </c>
      <c r="W48" s="7">
        <v>41461.152787884348</v>
      </c>
      <c r="Z48" t="s">
        <v>67</v>
      </c>
      <c r="AC48" s="7"/>
    </row>
    <row r="49" spans="1:29">
      <c r="A49" s="7"/>
      <c r="B49" s="4">
        <v>8.0357557097342464E-2</v>
      </c>
      <c r="C49" s="1" t="s">
        <v>14</v>
      </c>
      <c r="D49" s="4">
        <v>1.4899350647473123E-7</v>
      </c>
      <c r="E49" s="4">
        <v>1.366167638990586E-6</v>
      </c>
      <c r="F49" s="4">
        <v>1.3604592746856516E-6</v>
      </c>
      <c r="G49" s="4">
        <v>1.247447274190675E-5</v>
      </c>
      <c r="H49" s="4">
        <v>1.6025357787506563E-8</v>
      </c>
      <c r="I49" s="4">
        <v>1.4694147235369797E-7</v>
      </c>
      <c r="J49" s="4">
        <v>1.4632749539233609E-7</v>
      </c>
      <c r="K49" s="4">
        <v>1.3417221570891568E-6</v>
      </c>
      <c r="N49" s="1" t="s">
        <v>14</v>
      </c>
      <c r="O49">
        <v>718.81968916320636</v>
      </c>
      <c r="P49">
        <v>0.31891808872373539</v>
      </c>
      <c r="Q49">
        <v>40.084156087718469</v>
      </c>
      <c r="R49">
        <v>34.38796134335184</v>
      </c>
      <c r="S49">
        <v>34.214698480114052</v>
      </c>
      <c r="T49">
        <v>26.597954531387639</v>
      </c>
      <c r="U49">
        <v>111.92383268846085</v>
      </c>
      <c r="V49">
        <v>29.892557829057871</v>
      </c>
      <c r="W49" s="7">
        <v>996.23976821202086</v>
      </c>
      <c r="Z49" t="s">
        <v>69</v>
      </c>
      <c r="AB49">
        <v>12</v>
      </c>
      <c r="AC49" s="7"/>
    </row>
    <row r="50" spans="1:29">
      <c r="A50" s="7"/>
      <c r="B50" s="4">
        <v>8.0021792878168643E-2</v>
      </c>
      <c r="C50" s="1" t="s">
        <v>15</v>
      </c>
      <c r="D50" s="4">
        <v>1.4837095533989701E-7</v>
      </c>
      <c r="E50" s="4">
        <v>1.3604592746856516E-6</v>
      </c>
      <c r="F50" s="4">
        <v>1.3547747620824464E-6</v>
      </c>
      <c r="G50" s="4">
        <v>1.2422349684025367E-5</v>
      </c>
      <c r="H50" s="4">
        <v>1.5958397790975245E-8</v>
      </c>
      <c r="I50" s="4">
        <v>1.4632749539233609E-7</v>
      </c>
      <c r="J50" s="4">
        <v>1.4571608385857638E-7</v>
      </c>
      <c r="K50" s="4">
        <v>1.3361159352390135E-6</v>
      </c>
      <c r="N50" s="1" t="s">
        <v>15</v>
      </c>
      <c r="O50">
        <v>39.901215214689834</v>
      </c>
      <c r="P50">
        <v>28.67456042726117</v>
      </c>
      <c r="Q50">
        <v>128.71724399851024</v>
      </c>
      <c r="R50">
        <v>120.58943814194741</v>
      </c>
      <c r="S50">
        <v>113.52080076894782</v>
      </c>
      <c r="T50">
        <v>123.51061435580186</v>
      </c>
      <c r="U50">
        <v>61.986695064361896</v>
      </c>
      <c r="V50">
        <v>144.28803424764388</v>
      </c>
      <c r="W50" s="7">
        <v>761.18860221916407</v>
      </c>
      <c r="AC50" s="7"/>
    </row>
    <row r="51" spans="1:29">
      <c r="A51" s="7"/>
      <c r="B51" s="4">
        <v>0.7337446203583522</v>
      </c>
      <c r="C51" s="1" t="s">
        <v>16</v>
      </c>
      <c r="D51" s="4">
        <v>1.3604592746856516E-6</v>
      </c>
      <c r="E51" s="4">
        <v>1.2474472741906752E-5</v>
      </c>
      <c r="F51" s="4">
        <v>1.2422349684025367E-5</v>
      </c>
      <c r="G51" s="4">
        <v>1.1390437435888262E-4</v>
      </c>
      <c r="H51" s="4">
        <v>1.4632749539233611E-7</v>
      </c>
      <c r="I51" s="4">
        <v>1.341722157089157E-6</v>
      </c>
      <c r="J51" s="4">
        <v>1.3361159352390137E-6</v>
      </c>
      <c r="K51" s="4">
        <v>1.2251261117696806E-5</v>
      </c>
      <c r="N51" s="1" t="s">
        <v>16</v>
      </c>
      <c r="O51">
        <v>47.085148057584966</v>
      </c>
      <c r="P51">
        <v>30.368676077969631</v>
      </c>
      <c r="Q51">
        <v>113.31479201594155</v>
      </c>
      <c r="R51">
        <v>33.244708877717379</v>
      </c>
      <c r="S51">
        <v>106.66785891022154</v>
      </c>
      <c r="T51">
        <v>33.082026694498957</v>
      </c>
      <c r="U51">
        <v>148.35493294732802</v>
      </c>
      <c r="V51">
        <v>21.476377345645549</v>
      </c>
      <c r="W51" s="7">
        <v>533.59452092690765</v>
      </c>
      <c r="AC51" s="7"/>
    </row>
    <row r="52" spans="1:29">
      <c r="A52" s="7"/>
      <c r="B52" s="4">
        <v>9.4260657818419748E-4</v>
      </c>
      <c r="C52" s="1" t="s">
        <v>17</v>
      </c>
      <c r="D52" s="4">
        <v>1.7477168841716333E-9</v>
      </c>
      <c r="E52" s="4">
        <v>1.6025357787506563E-8</v>
      </c>
      <c r="F52" s="4">
        <v>1.5958397790975245E-8</v>
      </c>
      <c r="G52" s="4">
        <v>1.4632749539233611E-7</v>
      </c>
      <c r="H52" s="4">
        <v>1.8797992639274254E-10</v>
      </c>
      <c r="I52" s="4">
        <v>1.7236462064281413E-9</v>
      </c>
      <c r="J52" s="4">
        <v>1.7164441616729455E-9</v>
      </c>
      <c r="K52" s="4">
        <v>1.5738608502442346E-8</v>
      </c>
      <c r="N52" s="1" t="s">
        <v>17</v>
      </c>
      <c r="O52">
        <v>49.096258532115165</v>
      </c>
      <c r="P52">
        <v>37.454479721203469</v>
      </c>
      <c r="Q52">
        <v>129.6637118502953</v>
      </c>
      <c r="R52">
        <v>113.52721601366183</v>
      </c>
      <c r="S52">
        <v>144.05385634911707</v>
      </c>
      <c r="T52">
        <v>114.41135582130291</v>
      </c>
      <c r="U52">
        <v>80.163499790630823</v>
      </c>
      <c r="V52">
        <v>143.70182118147264</v>
      </c>
      <c r="W52" s="7">
        <v>812.07219925979916</v>
      </c>
      <c r="AC52" s="7"/>
    </row>
    <row r="53" spans="1:29">
      <c r="A53" s="7"/>
      <c r="B53" s="4">
        <v>8.6430518610104631E-3</v>
      </c>
      <c r="C53" s="1" t="s">
        <v>18</v>
      </c>
      <c r="D53" s="4">
        <v>1.6025357787506563E-8</v>
      </c>
      <c r="E53" s="4">
        <v>1.4694147235369799E-7</v>
      </c>
      <c r="F53" s="4">
        <v>1.4632749539233611E-7</v>
      </c>
      <c r="G53" s="4">
        <v>1.341722157089157E-6</v>
      </c>
      <c r="H53" s="4">
        <v>1.7236462064281415E-9</v>
      </c>
      <c r="I53" s="4">
        <v>1.5804646282959841E-8</v>
      </c>
      <c r="J53" s="4">
        <v>1.5738608502442346E-8</v>
      </c>
      <c r="K53" s="4">
        <v>1.4431217928564835E-7</v>
      </c>
      <c r="N53" s="1" t="s">
        <v>18</v>
      </c>
      <c r="O53">
        <v>35.683515700647028</v>
      </c>
      <c r="P53">
        <v>37.171192879497404</v>
      </c>
      <c r="Q53">
        <v>117.81192524879643</v>
      </c>
      <c r="R53">
        <v>28.676699770601946</v>
      </c>
      <c r="S53">
        <v>111.09272294898662</v>
      </c>
      <c r="T53">
        <v>29.773067541408146</v>
      </c>
      <c r="U53">
        <v>141.27658549675741</v>
      </c>
      <c r="V53">
        <v>35.227755782028595</v>
      </c>
      <c r="W53" s="7">
        <v>536.71346536872352</v>
      </c>
      <c r="AC53" s="7"/>
    </row>
    <row r="54" spans="1:29">
      <c r="A54" s="7"/>
      <c r="B54" s="4">
        <v>8.606937926438317E-3</v>
      </c>
      <c r="C54" s="1" t="s">
        <v>19</v>
      </c>
      <c r="D54" s="4">
        <v>1.5958397790975249E-8</v>
      </c>
      <c r="E54" s="4">
        <v>1.4632749539233611E-7</v>
      </c>
      <c r="F54" s="4">
        <v>1.4571608385857643E-7</v>
      </c>
      <c r="G54" s="4">
        <v>1.336115935239014E-6</v>
      </c>
      <c r="H54" s="4">
        <v>1.7164441616729459E-9</v>
      </c>
      <c r="I54" s="4">
        <v>1.5738608502442349E-8</v>
      </c>
      <c r="J54" s="4">
        <v>1.5672846652709863E-8</v>
      </c>
      <c r="K54" s="4">
        <v>1.4370918850363118E-7</v>
      </c>
      <c r="N54" s="1" t="s">
        <v>19</v>
      </c>
      <c r="O54">
        <v>121.09766194738478</v>
      </c>
      <c r="P54">
        <v>110.12031240236136</v>
      </c>
      <c r="Q54">
        <v>98.858668568171893</v>
      </c>
      <c r="R54">
        <v>144.47214009944969</v>
      </c>
      <c r="S54">
        <v>76.063575506738061</v>
      </c>
      <c r="T54">
        <v>149.33439839793351</v>
      </c>
      <c r="U54">
        <v>2002.33885255323</v>
      </c>
      <c r="V54">
        <v>4.2058036949932287</v>
      </c>
      <c r="W54" s="7">
        <v>2706.4914131702626</v>
      </c>
      <c r="AC54" s="7"/>
    </row>
    <row r="55" spans="1:29">
      <c r="A55" s="7"/>
      <c r="B55" s="4">
        <v>7.8919681428498825E-2</v>
      </c>
      <c r="C55" s="1" t="s">
        <v>20</v>
      </c>
      <c r="D55" s="4">
        <v>1.4632749539233614E-7</v>
      </c>
      <c r="E55" s="4">
        <v>1.3417221570891572E-6</v>
      </c>
      <c r="F55" s="4">
        <v>1.336115935239014E-6</v>
      </c>
      <c r="G55" s="4">
        <v>1.2251261117696809E-5</v>
      </c>
      <c r="H55" s="4">
        <v>1.5738608502442349E-8</v>
      </c>
      <c r="I55" s="4">
        <v>1.4431217928564838E-7</v>
      </c>
      <c r="J55" s="4">
        <v>1.4370918850363118E-7</v>
      </c>
      <c r="K55" s="4">
        <v>1.3177140897248155E-6</v>
      </c>
      <c r="N55" s="1" t="s">
        <v>20</v>
      </c>
      <c r="O55">
        <v>103.06714950382826</v>
      </c>
      <c r="P55">
        <v>37.339967433478016</v>
      </c>
      <c r="Q55">
        <v>146.88253090707056</v>
      </c>
      <c r="R55">
        <v>38.692081479808529</v>
      </c>
      <c r="S55">
        <v>148.69126145487502</v>
      </c>
      <c r="T55">
        <v>31.005494521478962</v>
      </c>
      <c r="U55">
        <v>0.35097099938003423</v>
      </c>
      <c r="V55">
        <v>11992.830094011468</v>
      </c>
      <c r="W55" s="7">
        <v>12498.859550311387</v>
      </c>
      <c r="AC55" s="7"/>
    </row>
    <row r="56" spans="1:29">
      <c r="A56" s="7"/>
      <c r="O56" s="7">
        <v>41645.441495199069</v>
      </c>
      <c r="P56" s="7">
        <v>797.18793297804928</v>
      </c>
      <c r="Q56" s="7">
        <v>848.54568007183184</v>
      </c>
      <c r="R56" s="7">
        <v>538.18475101685499</v>
      </c>
      <c r="S56" s="7">
        <v>757.82457094146935</v>
      </c>
      <c r="T56" s="7">
        <v>534.45834912862767</v>
      </c>
      <c r="U56" s="7">
        <v>2705.2275371819374</v>
      </c>
      <c r="V56" s="7">
        <v>12479.441990834779</v>
      </c>
      <c r="W56" s="21">
        <v>60306.312307352608</v>
      </c>
      <c r="X56" t="s">
        <v>64</v>
      </c>
      <c r="AC56" s="7"/>
    </row>
    <row r="57" spans="1:29">
      <c r="A57" s="7"/>
      <c r="C57" s="1" t="s">
        <v>29</v>
      </c>
      <c r="D57" s="4">
        <v>0</v>
      </c>
      <c r="E57" s="4">
        <v>0</v>
      </c>
      <c r="F57" s="4">
        <v>0</v>
      </c>
      <c r="G57" s="4">
        <v>0</v>
      </c>
      <c r="H57" s="4">
        <v>0</v>
      </c>
      <c r="I57" s="4">
        <v>0</v>
      </c>
      <c r="J57" s="4">
        <v>0</v>
      </c>
      <c r="K57" s="4">
        <v>0</v>
      </c>
      <c r="X57">
        <v>1</v>
      </c>
      <c r="AC57" s="7"/>
    </row>
    <row r="58" spans="1:29">
      <c r="A58" s="7"/>
      <c r="C58" s="1"/>
      <c r="D58" s="1" t="s">
        <v>13</v>
      </c>
      <c r="E58" s="1" t="s">
        <v>14</v>
      </c>
      <c r="F58" s="1" t="s">
        <v>15</v>
      </c>
      <c r="G58" s="1" t="s">
        <v>16</v>
      </c>
      <c r="H58" s="1" t="s">
        <v>17</v>
      </c>
      <c r="I58" s="1" t="s">
        <v>18</v>
      </c>
      <c r="J58" s="1" t="s">
        <v>19</v>
      </c>
      <c r="K58" s="1" t="s">
        <v>20</v>
      </c>
      <c r="L58" s="1"/>
      <c r="X58">
        <v>0</v>
      </c>
      <c r="Y58" t="s">
        <v>65</v>
      </c>
      <c r="AC58" s="7"/>
    </row>
    <row r="59" spans="1:29">
      <c r="A59" s="7"/>
      <c r="B59" s="4">
        <v>7.8919681428498825E-2</v>
      </c>
      <c r="C59" s="1" t="s">
        <v>13</v>
      </c>
      <c r="D59" s="4">
        <v>0</v>
      </c>
      <c r="E59" s="4">
        <v>0</v>
      </c>
      <c r="F59" s="4">
        <v>0</v>
      </c>
      <c r="G59" s="4">
        <v>0</v>
      </c>
      <c r="H59" s="4">
        <v>0</v>
      </c>
      <c r="I59" s="4">
        <v>0</v>
      </c>
      <c r="J59" s="4">
        <v>0</v>
      </c>
      <c r="K59" s="4">
        <v>0</v>
      </c>
      <c r="AC59" s="7"/>
    </row>
    <row r="60" spans="1:29">
      <c r="A60" s="7"/>
      <c r="B60" s="4">
        <v>8.606937926438317E-3</v>
      </c>
      <c r="C60" s="1" t="s">
        <v>14</v>
      </c>
      <c r="D60" s="4">
        <v>0</v>
      </c>
      <c r="E60" s="4">
        <v>0</v>
      </c>
      <c r="F60" s="4">
        <v>0</v>
      </c>
      <c r="G60" s="4">
        <v>0</v>
      </c>
      <c r="H60" s="4">
        <v>0</v>
      </c>
      <c r="I60" s="4">
        <v>0</v>
      </c>
      <c r="J60" s="4">
        <v>0</v>
      </c>
      <c r="K60" s="4">
        <v>0</v>
      </c>
      <c r="O60" s="22"/>
      <c r="P60" s="22"/>
      <c r="Q60" s="22"/>
      <c r="R60" s="22"/>
      <c r="S60" s="22"/>
      <c r="T60" s="22"/>
      <c r="U60" s="22"/>
      <c r="V60" s="22"/>
      <c r="AC60" s="7"/>
    </row>
    <row r="61" spans="1:29">
      <c r="A61" s="7"/>
      <c r="B61" s="4">
        <v>8.6430518610104631E-3</v>
      </c>
      <c r="C61" s="1" t="s">
        <v>15</v>
      </c>
      <c r="D61" s="4">
        <v>0</v>
      </c>
      <c r="E61" s="4">
        <v>0</v>
      </c>
      <c r="F61" s="4">
        <v>0</v>
      </c>
      <c r="G61" s="4">
        <v>0</v>
      </c>
      <c r="H61" s="4">
        <v>0</v>
      </c>
      <c r="I61" s="4">
        <v>0</v>
      </c>
      <c r="J61" s="4">
        <v>0</v>
      </c>
      <c r="K61" s="4">
        <v>0</v>
      </c>
      <c r="O61" s="22"/>
      <c r="P61" s="22"/>
      <c r="Q61" s="22"/>
      <c r="R61" s="22"/>
      <c r="S61" s="22"/>
      <c r="T61" s="22"/>
      <c r="U61" s="22"/>
      <c r="V61" s="22"/>
      <c r="AC61" s="7"/>
    </row>
    <row r="62" spans="1:29">
      <c r="A62" s="7"/>
      <c r="B62" s="4">
        <v>9.4260657818419748E-4</v>
      </c>
      <c r="C62" s="1" t="s">
        <v>16</v>
      </c>
      <c r="D62" s="4">
        <v>0</v>
      </c>
      <c r="E62" s="4">
        <v>0</v>
      </c>
      <c r="F62" s="4">
        <v>0</v>
      </c>
      <c r="G62" s="4">
        <v>0</v>
      </c>
      <c r="H62" s="4">
        <v>0</v>
      </c>
      <c r="I62" s="4">
        <v>0</v>
      </c>
      <c r="J62" s="4">
        <v>0</v>
      </c>
      <c r="K62" s="4">
        <v>0</v>
      </c>
      <c r="O62" s="22"/>
      <c r="P62" s="22"/>
      <c r="Q62" s="22"/>
      <c r="R62" s="22"/>
      <c r="S62" s="22"/>
      <c r="T62" s="22"/>
      <c r="U62" s="22"/>
      <c r="V62" s="22"/>
      <c r="AC62" s="7"/>
    </row>
    <row r="63" spans="1:29">
      <c r="A63" s="7"/>
      <c r="B63" s="4">
        <v>0.7337446203583522</v>
      </c>
      <c r="C63" s="1" t="s">
        <v>17</v>
      </c>
      <c r="D63" s="4">
        <v>0</v>
      </c>
      <c r="E63" s="4">
        <v>0</v>
      </c>
      <c r="F63" s="4">
        <v>0</v>
      </c>
      <c r="G63" s="4">
        <v>0</v>
      </c>
      <c r="H63" s="4">
        <v>0</v>
      </c>
      <c r="I63" s="4">
        <v>0</v>
      </c>
      <c r="J63" s="4">
        <v>0</v>
      </c>
      <c r="K63" s="4">
        <v>0</v>
      </c>
      <c r="O63" s="22"/>
      <c r="P63" s="22"/>
      <c r="Q63" s="22"/>
      <c r="R63" s="22"/>
      <c r="S63" s="22"/>
      <c r="T63" s="22"/>
      <c r="U63" s="22"/>
      <c r="V63" s="22"/>
      <c r="AC63" s="7"/>
    </row>
    <row r="64" spans="1:29">
      <c r="A64" s="7"/>
      <c r="B64" s="4">
        <v>8.0021792878168643E-2</v>
      </c>
      <c r="C64" s="1" t="s">
        <v>18</v>
      </c>
      <c r="D64" s="4">
        <v>0</v>
      </c>
      <c r="E64" s="4">
        <v>0</v>
      </c>
      <c r="F64" s="4">
        <v>0</v>
      </c>
      <c r="G64" s="4">
        <v>0</v>
      </c>
      <c r="H64" s="4">
        <v>0</v>
      </c>
      <c r="I64" s="4">
        <v>0</v>
      </c>
      <c r="J64" s="4">
        <v>0</v>
      </c>
      <c r="K64" s="4">
        <v>0</v>
      </c>
      <c r="O64" s="22"/>
      <c r="P64" s="22"/>
      <c r="Q64" s="22"/>
      <c r="R64" s="22"/>
      <c r="S64" s="22"/>
      <c r="T64" s="22"/>
      <c r="U64" s="22"/>
      <c r="V64" s="22"/>
      <c r="AC64" s="7"/>
    </row>
    <row r="65" spans="1:29">
      <c r="A65" s="7"/>
      <c r="B65" s="4">
        <v>8.0357557097342464E-2</v>
      </c>
      <c r="C65" s="1" t="s">
        <v>19</v>
      </c>
      <c r="D65" s="4">
        <v>0</v>
      </c>
      <c r="E65" s="4">
        <v>0</v>
      </c>
      <c r="F65" s="4">
        <v>0</v>
      </c>
      <c r="G65" s="4">
        <v>0</v>
      </c>
      <c r="H65" s="4">
        <v>0</v>
      </c>
      <c r="I65" s="4">
        <v>0</v>
      </c>
      <c r="J65" s="4">
        <v>0</v>
      </c>
      <c r="K65" s="4">
        <v>0</v>
      </c>
      <c r="O65" s="22"/>
      <c r="P65" s="22"/>
      <c r="Q65" s="22"/>
      <c r="R65" s="22"/>
      <c r="S65" s="22"/>
      <c r="T65" s="22"/>
      <c r="U65" s="22"/>
      <c r="V65" s="22"/>
      <c r="AC65" s="7"/>
    </row>
    <row r="66" spans="1:29">
      <c r="A66" s="7"/>
      <c r="B66" s="4">
        <v>8.7637518720050586E-3</v>
      </c>
      <c r="C66" s="1" t="s">
        <v>20</v>
      </c>
      <c r="D66" s="4">
        <v>0</v>
      </c>
      <c r="E66" s="4">
        <v>0</v>
      </c>
      <c r="F66" s="4">
        <v>0</v>
      </c>
      <c r="G66" s="4">
        <v>0</v>
      </c>
      <c r="H66" s="4">
        <v>0</v>
      </c>
      <c r="I66" s="4">
        <v>0</v>
      </c>
      <c r="J66" s="4">
        <v>0</v>
      </c>
      <c r="K66" s="4">
        <v>0</v>
      </c>
      <c r="O66" s="22"/>
      <c r="P66" s="22"/>
      <c r="Q66" s="22"/>
      <c r="R66" s="22"/>
      <c r="S66" s="22"/>
      <c r="T66" s="22"/>
      <c r="U66" s="22"/>
      <c r="V66" s="22"/>
      <c r="AC66" s="7"/>
    </row>
    <row r="67" spans="1:29">
      <c r="A67" s="7"/>
      <c r="O67" s="22"/>
      <c r="P67" s="22"/>
      <c r="Q67" s="22"/>
      <c r="R67" s="22"/>
      <c r="S67" s="22"/>
      <c r="T67" s="22"/>
      <c r="U67" s="22"/>
      <c r="V67" s="22"/>
      <c r="AC67" s="7"/>
    </row>
    <row r="68" spans="1:29">
      <c r="A68" s="7"/>
      <c r="C68" s="1" t="s">
        <v>30</v>
      </c>
      <c r="D68" s="4">
        <v>2.2876224812960326E-6</v>
      </c>
      <c r="E68" s="4">
        <v>2.0975919542534037E-5</v>
      </c>
      <c r="F68" s="4">
        <v>2.5053369940638325E-7</v>
      </c>
      <c r="G68" s="4">
        <v>2.2972211387188455E-6</v>
      </c>
      <c r="H68" s="4">
        <v>2.1268847753554815E-5</v>
      </c>
      <c r="I68" s="4">
        <v>1.950206569871697E-4</v>
      </c>
      <c r="J68" s="4">
        <v>2.329301776572147E-6</v>
      </c>
      <c r="K68" s="4">
        <v>2.1358089918743137E-5</v>
      </c>
      <c r="O68" s="5"/>
      <c r="P68" s="5"/>
      <c r="Q68" s="5"/>
      <c r="R68" s="5"/>
      <c r="S68" s="5"/>
      <c r="T68" s="5"/>
      <c r="U68" s="5"/>
      <c r="V68" s="5"/>
      <c r="AC68" s="7"/>
    </row>
    <row r="69" spans="1:29">
      <c r="A69" s="7"/>
      <c r="C69" s="1"/>
      <c r="D69" s="1" t="s">
        <v>13</v>
      </c>
      <c r="E69" s="1" t="s">
        <v>14</v>
      </c>
      <c r="F69" s="1" t="s">
        <v>15</v>
      </c>
      <c r="G69" s="1" t="s">
        <v>16</v>
      </c>
      <c r="H69" s="1" t="s">
        <v>17</v>
      </c>
      <c r="I69" s="1" t="s">
        <v>18</v>
      </c>
      <c r="J69" s="1" t="s">
        <v>19</v>
      </c>
      <c r="K69" s="1" t="s">
        <v>20</v>
      </c>
      <c r="L69" s="1"/>
      <c r="AC69" s="7"/>
    </row>
    <row r="70" spans="1:29">
      <c r="A70" s="7"/>
      <c r="B70" s="4">
        <v>8.606937926438317E-3</v>
      </c>
      <c r="C70" s="1" t="s">
        <v>13</v>
      </c>
      <c r="D70" s="4">
        <v>1.9689424695639752E-8</v>
      </c>
      <c r="E70" s="4">
        <v>1.8053843745255488E-7</v>
      </c>
      <c r="F70" s="4">
        <v>2.1563279992716968E-9</v>
      </c>
      <c r="G70" s="4">
        <v>1.9772039744255051E-8</v>
      </c>
      <c r="H70" s="4">
        <v>1.8305965238171334E-7</v>
      </c>
      <c r="I70" s="4">
        <v>1.6785306890617887E-6</v>
      </c>
      <c r="J70" s="4">
        <v>2.0048155802898962E-8</v>
      </c>
      <c r="K70" s="4">
        <v>1.8382775415791019E-7</v>
      </c>
      <c r="AC70" s="7"/>
    </row>
    <row r="71" spans="1:29">
      <c r="A71" s="7"/>
      <c r="B71" s="4">
        <v>7.8919681428498825E-2</v>
      </c>
      <c r="C71" s="1" t="s">
        <v>14</v>
      </c>
      <c r="D71" s="4">
        <v>1.805384374525549E-7</v>
      </c>
      <c r="E71" s="4">
        <v>1.6554128879666091E-6</v>
      </c>
      <c r="F71" s="4">
        <v>1.9772039744255051E-8</v>
      </c>
      <c r="G71" s="4">
        <v>1.8129596043850459E-7</v>
      </c>
      <c r="H71" s="4">
        <v>1.6785306890617889E-6</v>
      </c>
      <c r="I71" s="4">
        <v>1.5390968121403977E-5</v>
      </c>
      <c r="J71" s="4">
        <v>1.8382775415791019E-7</v>
      </c>
      <c r="K71" s="4">
        <v>1.6855736523084408E-6</v>
      </c>
      <c r="AC71" s="7"/>
    </row>
    <row r="72" spans="1:29">
      <c r="A72" s="7"/>
      <c r="B72" s="4">
        <v>9.4260657818419748E-4</v>
      </c>
      <c r="C72" s="1" t="s">
        <v>15</v>
      </c>
      <c r="D72" s="4">
        <v>2.1563279992716968E-9</v>
      </c>
      <c r="E72" s="4">
        <v>1.9772039744255047E-8</v>
      </c>
      <c r="F72" s="4">
        <v>2.3615471311727925E-10</v>
      </c>
      <c r="G72" s="4">
        <v>2.1653757569001766E-9</v>
      </c>
      <c r="H72" s="4">
        <v>2.0048155802898959E-8</v>
      </c>
      <c r="I72" s="4">
        <v>1.8382775415791013E-7</v>
      </c>
      <c r="J72" s="4">
        <v>2.1956151771730436E-9</v>
      </c>
      <c r="K72" s="4">
        <v>2.0132276054856874E-8</v>
      </c>
      <c r="AC72" s="7"/>
    </row>
    <row r="73" spans="1:29">
      <c r="A73" s="7"/>
      <c r="B73" s="4">
        <v>8.6430518610104631E-3</v>
      </c>
      <c r="C73" s="1" t="s">
        <v>16</v>
      </c>
      <c r="D73" s="4">
        <v>1.9772039744255047E-8</v>
      </c>
      <c r="E73" s="4">
        <v>1.8129596043850456E-7</v>
      </c>
      <c r="F73" s="4">
        <v>2.1653757569001766E-9</v>
      </c>
      <c r="G73" s="4">
        <v>1.9855001438156494E-8</v>
      </c>
      <c r="H73" s="4">
        <v>1.8382775415791016E-7</v>
      </c>
      <c r="I73" s="4">
        <v>1.6855736523084402E-6</v>
      </c>
      <c r="J73" s="4">
        <v>2.0132276054856874E-8</v>
      </c>
      <c r="K73" s="4">
        <v>1.8459907881982169E-7</v>
      </c>
      <c r="AC73" s="7"/>
    </row>
    <row r="74" spans="1:29">
      <c r="A74" s="7"/>
      <c r="B74" s="4">
        <v>8.0021792878168643E-2</v>
      </c>
      <c r="C74" s="1" t="s">
        <v>17</v>
      </c>
      <c r="D74" s="4">
        <v>1.8305965238171334E-7</v>
      </c>
      <c r="E74" s="4">
        <v>1.6785306890617887E-6</v>
      </c>
      <c r="F74" s="4">
        <v>2.0048155802898962E-8</v>
      </c>
      <c r="G74" s="4">
        <v>1.8382775415791019E-7</v>
      </c>
      <c r="H74" s="4">
        <v>1.7019713296922659E-6</v>
      </c>
      <c r="I74" s="4">
        <v>1.5605902620391665E-5</v>
      </c>
      <c r="J74" s="4">
        <v>1.8639490431560661E-7</v>
      </c>
      <c r="K74" s="4">
        <v>1.7091126477509651E-6</v>
      </c>
      <c r="AC74" s="7"/>
    </row>
    <row r="75" spans="1:29">
      <c r="A75" s="7"/>
      <c r="B75" s="4">
        <v>0.7337446203583522</v>
      </c>
      <c r="C75" s="1" t="s">
        <v>18</v>
      </c>
      <c r="D75" s="4">
        <v>1.6785306890617891E-6</v>
      </c>
      <c r="E75" s="4">
        <v>1.5390968121403977E-5</v>
      </c>
      <c r="F75" s="4">
        <v>1.8382775415791021E-7</v>
      </c>
      <c r="G75" s="4">
        <v>1.6855736523084408E-6</v>
      </c>
      <c r="H75" s="4">
        <v>1.5605902620391669E-5</v>
      </c>
      <c r="I75" s="4">
        <v>1.4309535792308726E-4</v>
      </c>
      <c r="J75" s="4">
        <v>1.7091126477509653E-6</v>
      </c>
      <c r="K75" s="4">
        <v>1.5671383579007732E-5</v>
      </c>
      <c r="AC75" s="7"/>
    </row>
    <row r="76" spans="1:29">
      <c r="A76" s="7"/>
      <c r="B76" s="4">
        <v>8.7637518720050586E-3</v>
      </c>
      <c r="C76" s="1" t="s">
        <v>19</v>
      </c>
      <c r="D76" s="4">
        <v>2.0048155802898962E-8</v>
      </c>
      <c r="E76" s="4">
        <v>1.8382775415791016E-7</v>
      </c>
      <c r="F76" s="4">
        <v>2.195615177173044E-9</v>
      </c>
      <c r="G76" s="4">
        <v>2.0132276054856874E-8</v>
      </c>
      <c r="H76" s="4">
        <v>1.8639490431560659E-7</v>
      </c>
      <c r="I76" s="4">
        <v>1.7091126477509649E-6</v>
      </c>
      <c r="J76" s="4">
        <v>2.0413422804898863E-8</v>
      </c>
      <c r="K76" s="4">
        <v>1.8717700050783753E-7</v>
      </c>
      <c r="AC76" s="7"/>
    </row>
    <row r="77" spans="1:29">
      <c r="A77" s="7"/>
      <c r="B77" s="4">
        <v>8.0357557097342464E-2</v>
      </c>
      <c r="C77" s="1" t="s">
        <v>20</v>
      </c>
      <c r="D77" s="4">
        <v>1.8382775415791019E-7</v>
      </c>
      <c r="E77" s="4">
        <v>1.6855736523084406E-6</v>
      </c>
      <c r="F77" s="4">
        <v>2.0132276054856874E-8</v>
      </c>
      <c r="G77" s="4">
        <v>1.8459907881982171E-7</v>
      </c>
      <c r="H77" s="4">
        <v>1.7091126477509651E-6</v>
      </c>
      <c r="I77" s="4">
        <v>1.5671383579007729E-5</v>
      </c>
      <c r="J77" s="4">
        <v>1.8717700050783755E-7</v>
      </c>
      <c r="K77" s="4">
        <v>1.716283930135576E-6</v>
      </c>
      <c r="AC77" s="7"/>
    </row>
    <row r="78" spans="1:29">
      <c r="A78" s="7"/>
      <c r="AC78" s="7"/>
    </row>
    <row r="79" spans="1:29">
      <c r="A79" s="7"/>
      <c r="C79" s="1" t="s">
        <v>31</v>
      </c>
      <c r="D79" s="4">
        <v>2.8811540305788046E-3</v>
      </c>
      <c r="E79" s="4">
        <v>3.142171059086982E-4</v>
      </c>
      <c r="F79" s="4">
        <v>2.630780908135515E-2</v>
      </c>
      <c r="G79" s="4">
        <v>2.8691154810217925E-3</v>
      </c>
      <c r="H79" s="4">
        <v>2.6787123719908729E-2</v>
      </c>
      <c r="I79" s="4">
        <v>2.9213892771977378E-3</v>
      </c>
      <c r="J79" s="4">
        <v>0.2445931488502984</v>
      </c>
      <c r="K79" s="4">
        <v>2.6675197001319803E-2</v>
      </c>
      <c r="AC79" s="7"/>
    </row>
    <row r="80" spans="1:29">
      <c r="A80" s="7"/>
      <c r="C80" s="1"/>
      <c r="D80" s="1" t="s">
        <v>13</v>
      </c>
      <c r="E80" s="1" t="s">
        <v>14</v>
      </c>
      <c r="F80" s="1" t="s">
        <v>15</v>
      </c>
      <c r="G80" s="1" t="s">
        <v>16</v>
      </c>
      <c r="H80" s="1" t="s">
        <v>17</v>
      </c>
      <c r="I80" s="1" t="s">
        <v>18</v>
      </c>
      <c r="J80" s="1" t="s">
        <v>19</v>
      </c>
      <c r="K80" s="1" t="s">
        <v>20</v>
      </c>
      <c r="L80" s="1"/>
      <c r="AC80" s="7"/>
    </row>
    <row r="81" spans="1:29">
      <c r="A81" s="7"/>
      <c r="B81" s="4">
        <v>8.6430518610104631E-3</v>
      </c>
      <c r="C81" s="1" t="s">
        <v>13</v>
      </c>
      <c r="D81" s="4">
        <v>2.4901963705851934E-5</v>
      </c>
      <c r="E81" s="4">
        <v>2.7157947419854959E-6</v>
      </c>
      <c r="F81" s="4">
        <v>2.2737975823971458E-4</v>
      </c>
      <c r="G81" s="4">
        <v>2.4797913897699335E-5</v>
      </c>
      <c r="H81" s="4">
        <v>2.3152249951847466E-4</v>
      </c>
      <c r="I81" s="4">
        <v>2.524971902901992E-5</v>
      </c>
      <c r="J81" s="4">
        <v>2.1140312703609807E-3</v>
      </c>
      <c r="K81" s="4">
        <v>2.3055511108507784E-4</v>
      </c>
      <c r="AC81" s="7"/>
    </row>
    <row r="82" spans="1:29">
      <c r="A82" s="7"/>
      <c r="B82" s="4">
        <v>9.4260657818419748E-4</v>
      </c>
      <c r="C82" s="1" t="s">
        <v>14</v>
      </c>
      <c r="D82" s="4">
        <v>2.7157947419854955E-6</v>
      </c>
      <c r="E82" s="4">
        <v>2.961831110075396E-7</v>
      </c>
      <c r="F82" s="4">
        <v>2.4797913897699335E-5</v>
      </c>
      <c r="G82" s="4">
        <v>2.7044471259812598E-6</v>
      </c>
      <c r="H82" s="4">
        <v>2.524971902901992E-5</v>
      </c>
      <c r="I82" s="4">
        <v>2.7537207501233658E-6</v>
      </c>
      <c r="J82" s="4">
        <v>2.3055511108507784E-4</v>
      </c>
      <c r="K82" s="4">
        <v>2.5144216167803426E-5</v>
      </c>
      <c r="AC82" s="7"/>
    </row>
    <row r="83" spans="1:29">
      <c r="A83" s="7"/>
      <c r="B83" s="4">
        <v>7.8919681428498825E-2</v>
      </c>
      <c r="C83" s="1" t="s">
        <v>15</v>
      </c>
      <c r="D83" s="4">
        <v>2.2737975823971463E-4</v>
      </c>
      <c r="E83" s="4">
        <v>2.4797913897699338E-5</v>
      </c>
      <c r="F83" s="4">
        <v>2.0762039117823167E-3</v>
      </c>
      <c r="G83" s="4">
        <v>2.2642967974381402E-4</v>
      </c>
      <c r="H83" s="4">
        <v>2.1140312703609812E-3</v>
      </c>
      <c r="I83" s="4">
        <v>2.3055511108507792E-4</v>
      </c>
      <c r="J83" s="4">
        <v>1.9303213386858944E-2</v>
      </c>
      <c r="K83" s="4">
        <v>2.1051980493866059E-3</v>
      </c>
      <c r="AC83" s="7"/>
    </row>
    <row r="84" spans="1:29">
      <c r="A84" s="7"/>
      <c r="B84" s="4">
        <v>8.606937926438317E-3</v>
      </c>
      <c r="C84" s="1" t="s">
        <v>16</v>
      </c>
      <c r="D84" s="4">
        <v>2.4797913897699335E-5</v>
      </c>
      <c r="E84" s="4">
        <v>2.7044471259812598E-6</v>
      </c>
      <c r="F84" s="4">
        <v>2.2642967974381402E-4</v>
      </c>
      <c r="G84" s="4">
        <v>2.4694298848937782E-5</v>
      </c>
      <c r="H84" s="4">
        <v>2.3055511108507789E-4</v>
      </c>
      <c r="I84" s="4">
        <v>2.514421616780343E-5</v>
      </c>
      <c r="J84" s="4">
        <v>2.1051980493866059E-3</v>
      </c>
      <c r="K84" s="4">
        <v>2.2959176476587307E-4</v>
      </c>
      <c r="AC84" s="7"/>
    </row>
    <row r="85" spans="1:29">
      <c r="A85" s="7"/>
      <c r="B85" s="4">
        <v>8.0357557097342464E-2</v>
      </c>
      <c r="C85" s="1" t="s">
        <v>17</v>
      </c>
      <c r="D85" s="4">
        <v>2.3152249951847466E-4</v>
      </c>
      <c r="E85" s="4">
        <v>2.524971902901992E-5</v>
      </c>
      <c r="F85" s="4">
        <v>2.1140312703609812E-3</v>
      </c>
      <c r="G85" s="4">
        <v>2.3055511108507787E-4</v>
      </c>
      <c r="H85" s="4">
        <v>2.1525478237961423E-3</v>
      </c>
      <c r="I85" s="4">
        <v>2.3475570564598125E-4</v>
      </c>
      <c r="J85" s="4">
        <v>1.9654907924356639E-2</v>
      </c>
      <c r="K85" s="4">
        <v>2.1435536661164145E-3</v>
      </c>
      <c r="AC85" s="7"/>
    </row>
    <row r="86" spans="1:29">
      <c r="A86" s="7"/>
      <c r="B86" s="4">
        <v>8.7637518720050586E-3</v>
      </c>
      <c r="C86" s="1" t="s">
        <v>18</v>
      </c>
      <c r="D86" s="4">
        <v>2.524971902901992E-5</v>
      </c>
      <c r="E86" s="4">
        <v>2.7537207501233658E-6</v>
      </c>
      <c r="F86" s="4">
        <v>2.3055511108507787E-4</v>
      </c>
      <c r="G86" s="4">
        <v>2.5144216167803426E-5</v>
      </c>
      <c r="H86" s="4">
        <v>2.3475570564598125E-4</v>
      </c>
      <c r="I86" s="4">
        <v>2.5602330746897179E-5</v>
      </c>
      <c r="J86" s="4">
        <v>2.1435536661164145E-3</v>
      </c>
      <c r="K86" s="4">
        <v>2.3377480765642014E-4</v>
      </c>
      <c r="AC86" s="7"/>
    </row>
    <row r="87" spans="1:29">
      <c r="A87" s="7"/>
      <c r="B87" s="4">
        <v>0.7337446203583522</v>
      </c>
      <c r="C87" s="1" t="s">
        <v>19</v>
      </c>
      <c r="D87" s="4">
        <v>2.1140312703609812E-3</v>
      </c>
      <c r="E87" s="4">
        <v>2.3055511108507789E-4</v>
      </c>
      <c r="F87" s="4">
        <v>1.9303213386858944E-2</v>
      </c>
      <c r="G87" s="4">
        <v>2.1051980493866063E-3</v>
      </c>
      <c r="H87" s="4">
        <v>1.9654907924356643E-2</v>
      </c>
      <c r="I87" s="4">
        <v>2.1435536661164149E-3</v>
      </c>
      <c r="J87" s="4">
        <v>0.17946890714541613</v>
      </c>
      <c r="K87" s="4">
        <v>1.9572782296717654E-2</v>
      </c>
      <c r="AC87" s="7"/>
    </row>
    <row r="88" spans="1:29">
      <c r="A88" s="7"/>
      <c r="B88" s="4">
        <v>8.0021792878168643E-2</v>
      </c>
      <c r="C88" s="1" t="s">
        <v>20</v>
      </c>
      <c r="D88" s="4">
        <v>2.3055511108507787E-4</v>
      </c>
      <c r="E88" s="4">
        <v>2.5144216167803426E-5</v>
      </c>
      <c r="F88" s="4">
        <v>2.1051980493866059E-3</v>
      </c>
      <c r="G88" s="4">
        <v>2.2959176476587307E-4</v>
      </c>
      <c r="H88" s="4">
        <v>2.1435536661164145E-3</v>
      </c>
      <c r="I88" s="4">
        <v>2.3377480765642017E-4</v>
      </c>
      <c r="J88" s="4">
        <v>1.9572782296717651E-2</v>
      </c>
      <c r="K88" s="4">
        <v>2.1345970894239585E-3</v>
      </c>
      <c r="AC88" s="7"/>
    </row>
    <row r="89" spans="1:29">
      <c r="A89" s="7"/>
      <c r="AC89" s="7"/>
    </row>
    <row r="90" spans="1:29">
      <c r="A90" s="7"/>
      <c r="C90" s="1" t="s">
        <v>32</v>
      </c>
      <c r="D90" s="4">
        <v>3.1396336441914894E-4</v>
      </c>
      <c r="E90" s="4">
        <v>2.8788273962180632E-3</v>
      </c>
      <c r="F90" s="4">
        <v>2.8667985682180228E-3</v>
      </c>
      <c r="G90" s="4">
        <v>2.6286564589767795E-2</v>
      </c>
      <c r="H90" s="4">
        <v>2.9190301514442057E-3</v>
      </c>
      <c r="I90" s="4">
        <v>2.6765492164701785E-2</v>
      </c>
      <c r="J90" s="4">
        <v>2.6653655830919293E-2</v>
      </c>
      <c r="K90" s="4">
        <v>0.2443956311825593</v>
      </c>
      <c r="AC90" s="7"/>
    </row>
    <row r="91" spans="1:29">
      <c r="A91" s="7"/>
      <c r="C91" s="1"/>
      <c r="D91" s="1" t="s">
        <v>13</v>
      </c>
      <c r="E91" s="1" t="s">
        <v>14</v>
      </c>
      <c r="F91" s="1" t="s">
        <v>15</v>
      </c>
      <c r="G91" s="1" t="s">
        <v>16</v>
      </c>
      <c r="H91" s="1" t="s">
        <v>17</v>
      </c>
      <c r="I91" s="1" t="s">
        <v>18</v>
      </c>
      <c r="J91" s="1" t="s">
        <v>19</v>
      </c>
      <c r="K91" s="1" t="s">
        <v>20</v>
      </c>
      <c r="AC91" s="7"/>
    </row>
    <row r="92" spans="1:29">
      <c r="A92" s="7"/>
      <c r="B92" s="4">
        <v>9.4260657818419748E-4</v>
      </c>
      <c r="C92" s="1" t="s">
        <v>13</v>
      </c>
      <c r="D92" s="4">
        <v>2.959439326103322E-7</v>
      </c>
      <c r="E92" s="4">
        <v>2.7136016411320313E-6</v>
      </c>
      <c r="F92" s="4">
        <v>2.7022631887313471E-6</v>
      </c>
      <c r="G92" s="4">
        <v>2.4777888700178914E-5</v>
      </c>
      <c r="H92" s="4">
        <v>2.7514970226693223E-6</v>
      </c>
      <c r="I92" s="4">
        <v>2.5229328982785497E-5</v>
      </c>
      <c r="J92" s="4">
        <v>2.5123911318882119E-5</v>
      </c>
      <c r="K92" s="4">
        <v>2.3036892963215937E-4</v>
      </c>
      <c r="AC92" s="7"/>
    </row>
    <row r="93" spans="1:29">
      <c r="A93" s="7"/>
      <c r="B93" s="4">
        <v>8.6430518610104631E-3</v>
      </c>
      <c r="C93" s="1" t="s">
        <v>14</v>
      </c>
      <c r="D93" s="4">
        <v>2.7136016411320313E-6</v>
      </c>
      <c r="E93" s="4">
        <v>2.4881854484410435E-5</v>
      </c>
      <c r="F93" s="4">
        <v>2.4777888700178914E-5</v>
      </c>
      <c r="G93" s="4">
        <v>2.2719614099716429E-4</v>
      </c>
      <c r="H93" s="4">
        <v>2.5229328982785497E-5</v>
      </c>
      <c r="I93" s="4">
        <v>2.3133553686498673E-4</v>
      </c>
      <c r="J93" s="4">
        <v>2.3036892963215939E-4</v>
      </c>
      <c r="K93" s="4">
        <v>2.1123241149152458E-3</v>
      </c>
      <c r="AC93" s="7"/>
    </row>
    <row r="94" spans="1:29">
      <c r="A94" s="7"/>
      <c r="B94" s="4">
        <v>8.606937926438317E-3</v>
      </c>
      <c r="C94" s="1" t="s">
        <v>15</v>
      </c>
      <c r="D94" s="4">
        <v>2.7022631887313475E-6</v>
      </c>
      <c r="E94" s="4">
        <v>2.4777888700178914E-5</v>
      </c>
      <c r="F94" s="4">
        <v>2.4674357324254764E-5</v>
      </c>
      <c r="G94" s="4">
        <v>2.2624682972344291E-4</v>
      </c>
      <c r="H94" s="4">
        <v>2.5123911318882119E-5</v>
      </c>
      <c r="I94" s="4">
        <v>2.3036892963215939E-4</v>
      </c>
      <c r="J94" s="4">
        <v>2.2940636124937306E-4</v>
      </c>
      <c r="K94" s="4">
        <v>2.1034980270810007E-3</v>
      </c>
      <c r="AC94" s="7"/>
    </row>
    <row r="95" spans="1:29">
      <c r="A95" s="7"/>
      <c r="B95" s="4">
        <v>7.8919681428498825E-2</v>
      </c>
      <c r="C95" s="1" t="s">
        <v>16</v>
      </c>
      <c r="D95" s="4">
        <v>2.4777888700178918E-5</v>
      </c>
      <c r="E95" s="4">
        <v>2.2719614099716431E-4</v>
      </c>
      <c r="F95" s="4">
        <v>2.2624682972344291E-4</v>
      </c>
      <c r="G95" s="4">
        <v>2.0745273032741324E-3</v>
      </c>
      <c r="H95" s="4">
        <v>2.3036892963215939E-4</v>
      </c>
      <c r="I95" s="4">
        <v>2.1123241149152462E-3</v>
      </c>
      <c r="J95" s="4">
        <v>2.1034980270810007E-3</v>
      </c>
      <c r="K95" s="4">
        <v>1.9287625355444475E-2</v>
      </c>
      <c r="AC95" s="7"/>
    </row>
    <row r="96" spans="1:29">
      <c r="A96" s="7"/>
      <c r="B96" s="4">
        <v>8.7637518720050586E-3</v>
      </c>
      <c r="C96" s="1" t="s">
        <v>17</v>
      </c>
      <c r="D96" s="4">
        <v>2.7514970226693231E-6</v>
      </c>
      <c r="E96" s="4">
        <v>2.5229328982785501E-5</v>
      </c>
      <c r="F96" s="4">
        <v>2.5123911318882119E-5</v>
      </c>
      <c r="G96" s="4">
        <v>2.3036892963215939E-4</v>
      </c>
      <c r="H96" s="4">
        <v>2.5581655954158366E-5</v>
      </c>
      <c r="I96" s="4">
        <v>2.34566132063542E-4</v>
      </c>
      <c r="J96" s="4">
        <v>2.335860261839975E-4</v>
      </c>
      <c r="K96" s="4">
        <v>2.1418226702860118E-3</v>
      </c>
      <c r="AC96" s="7"/>
    </row>
    <row r="97" spans="1:29">
      <c r="A97" s="7"/>
      <c r="B97" s="4">
        <v>8.0357557097342464E-2</v>
      </c>
      <c r="C97" s="1" t="s">
        <v>18</v>
      </c>
      <c r="D97" s="4">
        <v>2.5229328982785501E-5</v>
      </c>
      <c r="E97" s="4">
        <v>2.3133553686498676E-4</v>
      </c>
      <c r="F97" s="4">
        <v>2.3036892963215939E-4</v>
      </c>
      <c r="G97" s="4">
        <v>2.1123241149152462E-3</v>
      </c>
      <c r="H97" s="4">
        <v>2.3456613206354198E-4</v>
      </c>
      <c r="I97" s="4">
        <v>2.1508095648634959E-3</v>
      </c>
      <c r="J97" s="4">
        <v>2.1418226702860118E-3</v>
      </c>
      <c r="K97" s="4">
        <v>1.9639035887093561E-2</v>
      </c>
      <c r="AC97" s="7"/>
    </row>
    <row r="98" spans="1:29">
      <c r="A98" s="7"/>
      <c r="B98" s="4">
        <v>8.0021792878168643E-2</v>
      </c>
      <c r="C98" s="1" t="s">
        <v>19</v>
      </c>
      <c r="D98" s="4">
        <v>2.5123911318882119E-5</v>
      </c>
      <c r="E98" s="4">
        <v>2.3036892963215939E-4</v>
      </c>
      <c r="F98" s="4">
        <v>2.2940636124937303E-4</v>
      </c>
      <c r="G98" s="4">
        <v>2.1034980270810007E-3</v>
      </c>
      <c r="H98" s="4">
        <v>2.3358602618399747E-4</v>
      </c>
      <c r="I98" s="4">
        <v>2.1418226702860118E-3</v>
      </c>
      <c r="J98" s="4">
        <v>2.1328733263478155E-3</v>
      </c>
      <c r="K98" s="4">
        <v>1.9556976578820055E-2</v>
      </c>
      <c r="AC98" s="7"/>
    </row>
    <row r="99" spans="1:29">
      <c r="A99" s="7"/>
      <c r="B99" s="4">
        <v>0.7337446203583522</v>
      </c>
      <c r="C99" s="1" t="s">
        <v>20</v>
      </c>
      <c r="D99" s="4">
        <v>2.3036892963215942E-4</v>
      </c>
      <c r="E99" s="4">
        <v>2.1123241149152462E-3</v>
      </c>
      <c r="F99" s="4">
        <v>2.1034980270810007E-3</v>
      </c>
      <c r="G99" s="4">
        <v>1.9287625355444475E-2</v>
      </c>
      <c r="H99" s="4">
        <v>2.1418226702860118E-3</v>
      </c>
      <c r="I99" s="4">
        <v>1.9639035887093561E-2</v>
      </c>
      <c r="J99" s="4">
        <v>1.9556976578820058E-2</v>
      </c>
      <c r="K99" s="4">
        <v>0.17932397961928684</v>
      </c>
      <c r="AC99" s="7"/>
    </row>
    <row r="100" spans="1:29">
      <c r="A100" s="7"/>
      <c r="AC100" s="7"/>
    </row>
    <row r="101" spans="1:29">
      <c r="A101" s="7"/>
      <c r="C101" s="1" t="s">
        <v>33</v>
      </c>
      <c r="AC101" s="7"/>
    </row>
    <row r="102" spans="1:29">
      <c r="A102" s="7"/>
      <c r="C102" s="1"/>
      <c r="D102" s="1" t="s">
        <v>13</v>
      </c>
      <c r="E102" s="1" t="s">
        <v>14</v>
      </c>
      <c r="F102" s="1" t="s">
        <v>15</v>
      </c>
      <c r="G102" s="1" t="s">
        <v>16</v>
      </c>
      <c r="H102" s="1" t="s">
        <v>17</v>
      </c>
      <c r="I102" s="1" t="s">
        <v>18</v>
      </c>
      <c r="J102" s="1" t="s">
        <v>19</v>
      </c>
      <c r="K102" s="1" t="s">
        <v>20</v>
      </c>
      <c r="AC102" s="7"/>
    </row>
    <row r="103" spans="1:29">
      <c r="A103" s="7"/>
      <c r="C103" s="1" t="s">
        <v>13</v>
      </c>
      <c r="D103" s="4">
        <v>0.17877104608932287</v>
      </c>
      <c r="E103" s="4">
        <v>1.9499680884677927E-2</v>
      </c>
      <c r="F103" s="4">
        <v>1.9870068614762947E-2</v>
      </c>
      <c r="G103" s="4">
        <v>2.1928659712842163E-3</v>
      </c>
      <c r="H103" s="4">
        <v>1.9459897965583416E-2</v>
      </c>
      <c r="I103" s="4">
        <v>2.1488896383593452E-3</v>
      </c>
      <c r="J103" s="4">
        <v>4.2516013683363283E-3</v>
      </c>
      <c r="K103" s="4">
        <v>6.9163251182192834E-4</v>
      </c>
      <c r="L103" s="7">
        <v>0.24688568304414898</v>
      </c>
      <c r="AC103" s="7"/>
    </row>
    <row r="104" spans="1:29">
      <c r="A104" s="7"/>
      <c r="C104" s="1" t="s">
        <v>14</v>
      </c>
      <c r="D104" s="4">
        <v>1.9499680884677923E-2</v>
      </c>
      <c r="E104" s="4">
        <v>2.154196241324108E-3</v>
      </c>
      <c r="F104" s="4">
        <v>2.1928659712842163E-3</v>
      </c>
      <c r="G104" s="4">
        <v>4.7615190031084748E-4</v>
      </c>
      <c r="H104" s="4">
        <v>2.1488896383593447E-3</v>
      </c>
      <c r="I104" s="4">
        <v>4.7829388798046506E-4</v>
      </c>
      <c r="J104" s="4">
        <v>6.9163251182192834E-4</v>
      </c>
      <c r="K104" s="4">
        <v>2.165620561867749E-3</v>
      </c>
      <c r="L104" s="7">
        <v>2.9807331597626583E-2</v>
      </c>
      <c r="T104" s="6"/>
      <c r="AC104" s="7"/>
    </row>
    <row r="105" spans="1:29">
      <c r="A105" s="7"/>
      <c r="C105" s="1" t="s">
        <v>15</v>
      </c>
      <c r="D105" s="4">
        <v>1.9870068614762943E-2</v>
      </c>
      <c r="E105" s="4">
        <v>2.1928659712842163E-3</v>
      </c>
      <c r="F105" s="4">
        <v>4.8386042860529936E-3</v>
      </c>
      <c r="G105" s="4">
        <v>7.6352817180259491E-4</v>
      </c>
      <c r="H105" s="4">
        <v>4.2516013683363283E-3</v>
      </c>
      <c r="I105" s="4">
        <v>6.9163251182192834E-4</v>
      </c>
      <c r="J105" s="4">
        <v>1.9827084677028643E-2</v>
      </c>
      <c r="K105" s="4">
        <v>4.2421503799683555E-3</v>
      </c>
      <c r="L105" s="7">
        <v>5.6677535981058007E-2</v>
      </c>
      <c r="AC105" s="7"/>
    </row>
    <row r="106" spans="1:29">
      <c r="A106" s="7"/>
      <c r="C106" s="1" t="s">
        <v>16</v>
      </c>
      <c r="D106" s="4">
        <v>2.1928659712842163E-3</v>
      </c>
      <c r="E106" s="4">
        <v>4.7615190031084754E-4</v>
      </c>
      <c r="F106" s="4">
        <v>7.6352817180259502E-4</v>
      </c>
      <c r="G106" s="4">
        <v>2.2456921353415974E-3</v>
      </c>
      <c r="H106" s="4">
        <v>6.9163251182192834E-4</v>
      </c>
      <c r="I106" s="4">
        <v>2.1656205618677494E-3</v>
      </c>
      <c r="J106" s="4">
        <v>4.2421503799683555E-3</v>
      </c>
      <c r="K106" s="4">
        <v>1.9533153577018954E-2</v>
      </c>
      <c r="L106" s="7">
        <v>3.2310795209416245E-2</v>
      </c>
      <c r="AC106" s="7"/>
    </row>
    <row r="107" spans="1:29">
      <c r="A107" s="7"/>
      <c r="C107" s="1" t="s">
        <v>17</v>
      </c>
      <c r="D107" s="4">
        <v>1.9459897965583419E-2</v>
      </c>
      <c r="E107" s="4">
        <v>2.1488896383593456E-3</v>
      </c>
      <c r="F107" s="4">
        <v>4.2516013683363283E-3</v>
      </c>
      <c r="G107" s="4">
        <v>6.9163251182192834E-4</v>
      </c>
      <c r="H107" s="4">
        <v>4.2476703555076193E-3</v>
      </c>
      <c r="I107" s="4">
        <v>7.104468400247815E-4</v>
      </c>
      <c r="J107" s="4">
        <v>2.0115887459836175E-2</v>
      </c>
      <c r="K107" s="4">
        <v>4.3118800859168263E-3</v>
      </c>
      <c r="L107" s="7">
        <v>5.593790622538642E-2</v>
      </c>
      <c r="AC107" s="7"/>
    </row>
    <row r="108" spans="1:29">
      <c r="A108" s="7"/>
      <c r="C108" s="1" t="s">
        <v>18</v>
      </c>
      <c r="D108" s="4">
        <v>2.1488896383593456E-3</v>
      </c>
      <c r="E108" s="4">
        <v>4.7829388798046517E-4</v>
      </c>
      <c r="F108" s="4">
        <v>6.9163251182192834E-4</v>
      </c>
      <c r="G108" s="4">
        <v>2.1656205618677494E-3</v>
      </c>
      <c r="H108" s="4">
        <v>7.104468400247815E-4</v>
      </c>
      <c r="I108" s="4">
        <v>2.3441178616793517E-3</v>
      </c>
      <c r="J108" s="4">
        <v>4.3118800859168263E-3</v>
      </c>
      <c r="K108" s="4">
        <v>1.9891328763798854E-2</v>
      </c>
      <c r="L108" s="7">
        <v>3.2742210151449305E-2</v>
      </c>
      <c r="AC108" s="7"/>
    </row>
    <row r="109" spans="1:29">
      <c r="A109" s="7"/>
      <c r="C109" s="1" t="s">
        <v>19</v>
      </c>
      <c r="D109" s="4">
        <v>4.2516013683363283E-3</v>
      </c>
      <c r="E109" s="4">
        <v>6.9163251182192834E-4</v>
      </c>
      <c r="F109" s="4">
        <v>1.9827084677028643E-2</v>
      </c>
      <c r="G109" s="4">
        <v>4.2421503799683555E-3</v>
      </c>
      <c r="H109" s="4">
        <v>2.0115887459836179E-2</v>
      </c>
      <c r="I109" s="4">
        <v>4.3118800859168263E-3</v>
      </c>
      <c r="J109" s="4">
        <v>0.18163347253832088</v>
      </c>
      <c r="K109" s="4">
        <v>3.9133542145877331E-2</v>
      </c>
      <c r="L109" s="7">
        <v>0.27420725116710648</v>
      </c>
      <c r="AC109" s="7"/>
    </row>
    <row r="110" spans="1:29">
      <c r="A110" s="7"/>
      <c r="C110" s="1" t="s">
        <v>20</v>
      </c>
      <c r="D110" s="4">
        <v>6.9163251182192845E-4</v>
      </c>
      <c r="E110" s="4">
        <v>2.1656205618677494E-3</v>
      </c>
      <c r="F110" s="4">
        <v>4.2421503799683555E-3</v>
      </c>
      <c r="G110" s="4">
        <v>1.9533153577018954E-2</v>
      </c>
      <c r="H110" s="4">
        <v>4.3118800859168263E-3</v>
      </c>
      <c r="I110" s="4">
        <v>1.9891328763798854E-2</v>
      </c>
      <c r="J110" s="4">
        <v>3.9133542145877331E-2</v>
      </c>
      <c r="K110" s="4">
        <v>0.18146198722188561</v>
      </c>
      <c r="L110" s="7">
        <v>0.27143129524815562</v>
      </c>
      <c r="AC110" s="7"/>
    </row>
    <row r="111" spans="1:29">
      <c r="A111" s="7"/>
      <c r="D111" s="3">
        <v>0.24688568304414898</v>
      </c>
      <c r="E111" s="3">
        <v>2.9807331597626587E-2</v>
      </c>
      <c r="F111" s="3">
        <v>5.6677535981058007E-2</v>
      </c>
      <c r="G111" s="3">
        <v>3.2310795209416245E-2</v>
      </c>
      <c r="H111" s="3">
        <v>5.593790622538642E-2</v>
      </c>
      <c r="I111" s="3">
        <v>3.2742210151449305E-2</v>
      </c>
      <c r="J111" s="3">
        <v>0.27420725116710648</v>
      </c>
      <c r="K111" s="3">
        <v>0.27143129524815562</v>
      </c>
      <c r="L111" s="7">
        <v>1.0000000086243477</v>
      </c>
      <c r="AC111" s="7"/>
    </row>
    <row r="112" spans="1:29">
      <c r="A112" s="7"/>
      <c r="L112" s="7"/>
      <c r="M112" s="7"/>
      <c r="N112" s="7"/>
      <c r="O112" s="7"/>
      <c r="P112" s="7"/>
      <c r="Q112" s="7"/>
      <c r="R112" s="7"/>
      <c r="S112" s="7"/>
      <c r="T112" s="7"/>
      <c r="U112" s="7"/>
      <c r="V112" s="7"/>
      <c r="W112" s="7"/>
      <c r="X112" s="7"/>
      <c r="Y112" s="7"/>
      <c r="Z112" s="7"/>
      <c r="AA112" s="7"/>
      <c r="AB112" s="7"/>
      <c r="AC112" s="7"/>
    </row>
    <row r="113" spans="1:29">
      <c r="A113" s="7"/>
      <c r="C113" s="1" t="s">
        <v>34</v>
      </c>
      <c r="N113" t="s">
        <v>36</v>
      </c>
      <c r="O113" s="8">
        <v>0.6343186627920977</v>
      </c>
      <c r="W113" t="s">
        <v>54</v>
      </c>
      <c r="Y113" t="s">
        <v>60</v>
      </c>
      <c r="AC113" s="7"/>
    </row>
    <row r="114" spans="1:29">
      <c r="A114" s="7"/>
      <c r="C114" s="1"/>
      <c r="D114" s="1" t="s">
        <v>13</v>
      </c>
      <c r="E114" s="1" t="s">
        <v>14</v>
      </c>
      <c r="F114" s="1" t="s">
        <v>15</v>
      </c>
      <c r="G114" s="1" t="s">
        <v>16</v>
      </c>
      <c r="H114" s="1" t="s">
        <v>17</v>
      </c>
      <c r="I114" s="1" t="s">
        <v>18</v>
      </c>
      <c r="J114" s="1" t="s">
        <v>19</v>
      </c>
      <c r="K114" s="1" t="s">
        <v>20</v>
      </c>
      <c r="N114" t="s">
        <v>37</v>
      </c>
      <c r="O114" s="8">
        <v>0.63462687760573622</v>
      </c>
      <c r="R114" t="s">
        <v>58</v>
      </c>
      <c r="W114" s="1" t="s">
        <v>45</v>
      </c>
      <c r="X114" s="7" t="s">
        <v>47</v>
      </c>
      <c r="Y114" s="7" t="s">
        <v>48</v>
      </c>
      <c r="Z114" s="7" t="s">
        <v>49</v>
      </c>
      <c r="AA114" s="7" t="s">
        <v>50</v>
      </c>
      <c r="AB114" s="7"/>
      <c r="AC114" s="7"/>
    </row>
    <row r="115" spans="1:29">
      <c r="A115" s="7"/>
      <c r="C115" s="1" t="s">
        <v>13</v>
      </c>
      <c r="D115" s="5">
        <v>1787.7104608932286</v>
      </c>
      <c r="E115" s="5">
        <v>194.99680884677926</v>
      </c>
      <c r="F115" s="5">
        <v>198.70068614762945</v>
      </c>
      <c r="G115" s="5">
        <v>21.928659712842162</v>
      </c>
      <c r="H115" s="5">
        <v>194.59897965583414</v>
      </c>
      <c r="I115" s="5">
        <v>21.488896383593453</v>
      </c>
      <c r="J115" s="5">
        <v>42.516013683363283</v>
      </c>
      <c r="K115" s="5">
        <v>6.9163251182192838</v>
      </c>
      <c r="L115" s="12">
        <v>2468.8568304414898</v>
      </c>
      <c r="N115" t="s">
        <v>38</v>
      </c>
      <c r="O115" s="8">
        <v>0.36629163220664768</v>
      </c>
      <c r="W115" s="1" t="s">
        <v>13</v>
      </c>
      <c r="X115" s="5">
        <v>2468.8568304414898</v>
      </c>
      <c r="Y115" s="5">
        <v>1787.7104608932286</v>
      </c>
      <c r="Z115" s="5">
        <v>681.14636954826119</v>
      </c>
      <c r="AA115" s="8">
        <v>0.28850591036154988</v>
      </c>
      <c r="AB115" s="8">
        <v>2.1802168113173006E-2</v>
      </c>
      <c r="AC115" s="7"/>
    </row>
    <row r="116" spans="1:29">
      <c r="A116" s="7"/>
      <c r="C116" s="1" t="s">
        <v>14</v>
      </c>
      <c r="D116" s="5">
        <v>194.99680884677923</v>
      </c>
      <c r="E116" s="5">
        <v>21.54196241324108</v>
      </c>
      <c r="F116" s="5">
        <v>21.928659712842162</v>
      </c>
      <c r="G116" s="5">
        <v>4.7615190031084751</v>
      </c>
      <c r="H116" s="5">
        <v>21.488896383593449</v>
      </c>
      <c r="I116" s="5">
        <v>4.782938879804651</v>
      </c>
      <c r="J116" s="5">
        <v>6.9163251182192838</v>
      </c>
      <c r="K116" s="5">
        <v>21.65620561867749</v>
      </c>
      <c r="L116" s="12">
        <v>298.0733159762658</v>
      </c>
      <c r="M116" s="10" t="s">
        <v>39</v>
      </c>
      <c r="N116" s="10">
        <v>1</v>
      </c>
      <c r="O116" s="10">
        <v>2</v>
      </c>
      <c r="P116" s="10" t="s">
        <v>39</v>
      </c>
      <c r="Q116" s="10">
        <v>1</v>
      </c>
      <c r="R116" s="10">
        <v>2</v>
      </c>
      <c r="S116" s="10" t="s">
        <v>11</v>
      </c>
      <c r="T116" s="10" t="s">
        <v>42</v>
      </c>
      <c r="U116" s="10" t="s">
        <v>43</v>
      </c>
      <c r="V116" s="10"/>
      <c r="W116" s="1" t="s">
        <v>14</v>
      </c>
      <c r="X116" s="5">
        <v>298.0733159762658</v>
      </c>
      <c r="Y116" s="5">
        <v>21.54196241324108</v>
      </c>
      <c r="Z116" s="5">
        <v>276.53135356302471</v>
      </c>
      <c r="AA116" s="8">
        <v>1.3634935004136588E-2</v>
      </c>
      <c r="AB116" s="8">
        <v>1.1035045552999163</v>
      </c>
      <c r="AC116" s="7"/>
    </row>
    <row r="117" spans="1:29">
      <c r="A117" s="7"/>
      <c r="C117" s="1" t="s">
        <v>15</v>
      </c>
      <c r="D117" s="5">
        <v>198.70068614762943</v>
      </c>
      <c r="E117" s="5">
        <v>21.928659712842162</v>
      </c>
      <c r="F117" s="5">
        <v>48.386042860529933</v>
      </c>
      <c r="G117" s="5">
        <v>7.6352817180259489</v>
      </c>
      <c r="H117" s="5">
        <v>42.516013683363283</v>
      </c>
      <c r="I117" s="5">
        <v>6.9163251182192838</v>
      </c>
      <c r="J117" s="5">
        <v>198.27084677028643</v>
      </c>
      <c r="K117" s="5">
        <v>42.421503799683556</v>
      </c>
      <c r="L117" s="12">
        <v>566.77535981057997</v>
      </c>
      <c r="M117" s="10">
        <v>1</v>
      </c>
      <c r="N117" s="5">
        <v>2779.9986178028698</v>
      </c>
      <c r="O117" s="5">
        <v>876.81484051962752</v>
      </c>
      <c r="P117" s="10">
        <v>1</v>
      </c>
      <c r="Q117">
        <v>5.7593767798936402E-3</v>
      </c>
      <c r="R117">
        <v>1.1570562502562437E-2</v>
      </c>
      <c r="S117" s="23">
        <v>7.5993555860655176E-2</v>
      </c>
      <c r="T117">
        <v>0.21719791279296105</v>
      </c>
      <c r="U117" s="23">
        <v>0.78280208720703892</v>
      </c>
      <c r="W117" s="1" t="s">
        <v>15</v>
      </c>
      <c r="X117" s="5">
        <v>566.77535981057997</v>
      </c>
      <c r="Y117" s="5">
        <v>48.386042860529933</v>
      </c>
      <c r="Z117" s="5">
        <v>518.38931695004999</v>
      </c>
      <c r="AA117" s="8">
        <v>0.14121369558328251</v>
      </c>
      <c r="AB117" s="8">
        <v>2.1792077462758526</v>
      </c>
      <c r="AC117" s="7"/>
    </row>
    <row r="118" spans="1:29">
      <c r="A118" s="7"/>
      <c r="C118" s="1" t="s">
        <v>16</v>
      </c>
      <c r="D118" s="5">
        <v>21.928659712842162</v>
      </c>
      <c r="E118" s="5">
        <v>4.7615190031084751</v>
      </c>
      <c r="F118" s="5">
        <v>7.6352817180259498</v>
      </c>
      <c r="G118" s="5">
        <v>22.456921353415975</v>
      </c>
      <c r="H118" s="5">
        <v>6.9163251182192838</v>
      </c>
      <c r="I118" s="5">
        <v>21.656205618677493</v>
      </c>
      <c r="J118" s="5">
        <v>42.421503799683556</v>
      </c>
      <c r="K118" s="5">
        <v>195.33153577018953</v>
      </c>
      <c r="L118" s="12">
        <v>323.10795209416244</v>
      </c>
      <c r="M118" s="10">
        <v>2</v>
      </c>
      <c r="N118" s="5">
        <v>876.81484051962752</v>
      </c>
      <c r="O118" s="5">
        <v>5466.371787401351</v>
      </c>
      <c r="P118" s="10">
        <v>2</v>
      </c>
      <c r="Q118">
        <v>3.0663120187339857E-2</v>
      </c>
      <c r="R118">
        <v>2.8000496390859234E-2</v>
      </c>
      <c r="W118" s="1" t="s">
        <v>16</v>
      </c>
      <c r="X118" s="5">
        <v>323.10795209416244</v>
      </c>
      <c r="Y118" s="5">
        <v>22.456921353415975</v>
      </c>
      <c r="Z118" s="5">
        <v>300.65103074074648</v>
      </c>
      <c r="AA118" s="8">
        <v>0.10602930259545094</v>
      </c>
      <c r="AB118" s="8">
        <v>2.7303467428157653</v>
      </c>
      <c r="AC118" s="7"/>
    </row>
    <row r="119" spans="1:29">
      <c r="A119" s="7"/>
      <c r="C119" s="1" t="s">
        <v>17</v>
      </c>
      <c r="D119" s="5">
        <v>194.5989796558342</v>
      </c>
      <c r="E119" s="5">
        <v>21.488896383593456</v>
      </c>
      <c r="F119" s="5">
        <v>42.516013683363283</v>
      </c>
      <c r="G119" s="5">
        <v>6.9163251182192838</v>
      </c>
      <c r="H119" s="5">
        <v>42.476703555076192</v>
      </c>
      <c r="I119" s="5">
        <v>7.1044684002478151</v>
      </c>
      <c r="J119" s="5">
        <v>201.15887459836176</v>
      </c>
      <c r="K119" s="5">
        <v>43.11880085916826</v>
      </c>
      <c r="L119" s="12">
        <v>559.37906225386428</v>
      </c>
      <c r="M119" s="10" t="s">
        <v>40</v>
      </c>
      <c r="N119" s="10">
        <v>1</v>
      </c>
      <c r="O119" s="10">
        <v>2</v>
      </c>
      <c r="P119" s="10" t="s">
        <v>40</v>
      </c>
      <c r="Q119" s="10">
        <v>1</v>
      </c>
      <c r="R119" s="10">
        <v>2</v>
      </c>
      <c r="S119" s="10" t="s">
        <v>11</v>
      </c>
      <c r="T119" s="10" t="s">
        <v>42</v>
      </c>
      <c r="U119" s="10" t="s">
        <v>43</v>
      </c>
      <c r="W119" s="1" t="s">
        <v>17</v>
      </c>
      <c r="X119" s="5">
        <v>559.37906225386428</v>
      </c>
      <c r="Y119" s="5">
        <v>42.476703555076192</v>
      </c>
      <c r="Z119" s="5">
        <v>516.90235869878813</v>
      </c>
      <c r="AA119" s="8">
        <v>0.7061348767635176</v>
      </c>
      <c r="AB119" s="8">
        <v>9.7458468108914384E-2</v>
      </c>
      <c r="AC119" s="7"/>
    </row>
    <row r="120" spans="1:29">
      <c r="A120" s="7"/>
      <c r="C120" s="1" t="s">
        <v>18</v>
      </c>
      <c r="D120" s="5">
        <v>21.488896383593456</v>
      </c>
      <c r="E120" s="5">
        <v>4.7829388798046519</v>
      </c>
      <c r="F120" s="5">
        <v>6.9163251182192838</v>
      </c>
      <c r="G120" s="5">
        <v>21.656205618677493</v>
      </c>
      <c r="H120" s="5">
        <v>7.1044684002478151</v>
      </c>
      <c r="I120" s="5">
        <v>23.441178616793518</v>
      </c>
      <c r="J120" s="5">
        <v>43.11880085916826</v>
      </c>
      <c r="K120" s="5">
        <v>198.91328763798853</v>
      </c>
      <c r="L120" s="12">
        <v>327.42210151449297</v>
      </c>
      <c r="M120" s="10">
        <v>1</v>
      </c>
      <c r="N120" s="5">
        <v>2764.092282578044</v>
      </c>
      <c r="O120" s="5">
        <v>889.63902760806775</v>
      </c>
      <c r="P120" s="10">
        <v>1</v>
      </c>
      <c r="Q120">
        <v>0.37260499859593438</v>
      </c>
      <c r="R120">
        <v>0.37894617560080729</v>
      </c>
      <c r="S120" s="23">
        <v>0.95608042250324698</v>
      </c>
      <c r="T120">
        <v>0.67182360783936657</v>
      </c>
      <c r="U120" s="23">
        <v>0.32817639216063343</v>
      </c>
      <c r="W120" s="1" t="s">
        <v>18</v>
      </c>
      <c r="X120" s="5">
        <v>327.42210151449297</v>
      </c>
      <c r="Y120" s="5">
        <v>23.441178616793518</v>
      </c>
      <c r="Z120" s="5">
        <v>303.98092289769943</v>
      </c>
      <c r="AA120" s="8">
        <v>0.10366049184066813</v>
      </c>
      <c r="AB120" s="8">
        <v>0.73829649810736053</v>
      </c>
      <c r="AC120" s="7"/>
    </row>
    <row r="121" spans="1:29">
      <c r="A121" s="7"/>
      <c r="C121" s="1" t="s">
        <v>19</v>
      </c>
      <c r="D121" s="5">
        <v>42.516013683363283</v>
      </c>
      <c r="E121" s="5">
        <v>6.9163251182192838</v>
      </c>
      <c r="F121" s="5">
        <v>198.27084677028643</v>
      </c>
      <c r="G121" s="5">
        <v>42.421503799683556</v>
      </c>
      <c r="H121" s="5">
        <v>201.15887459836179</v>
      </c>
      <c r="I121" s="5">
        <v>43.11880085916826</v>
      </c>
      <c r="J121" s="5">
        <v>1816.3347253832087</v>
      </c>
      <c r="K121" s="5">
        <v>391.33542145877334</v>
      </c>
      <c r="L121" s="12">
        <v>2742.0725116710646</v>
      </c>
      <c r="M121" s="10">
        <v>2</v>
      </c>
      <c r="N121" s="5">
        <v>889.63902760806775</v>
      </c>
      <c r="O121" s="5">
        <v>5456.6297484492952</v>
      </c>
      <c r="P121" s="10">
        <v>2</v>
      </c>
      <c r="Q121">
        <v>0.10443657522410803</v>
      </c>
      <c r="R121">
        <v>0.1000926730823973</v>
      </c>
      <c r="W121" s="1" t="s">
        <v>19</v>
      </c>
      <c r="X121" s="5">
        <v>2742.0725116710646</v>
      </c>
      <c r="Y121" s="5">
        <v>1816.3347253832087</v>
      </c>
      <c r="Z121" s="5">
        <v>925.7377862878559</v>
      </c>
      <c r="AA121" s="8">
        <v>0.18507720530793378</v>
      </c>
      <c r="AB121" s="8">
        <v>0.74503156215324673</v>
      </c>
      <c r="AC121" s="7"/>
    </row>
    <row r="122" spans="1:29">
      <c r="A122" s="7"/>
      <c r="C122" s="1" t="s">
        <v>20</v>
      </c>
      <c r="D122" s="5">
        <v>6.9163251182192846</v>
      </c>
      <c r="E122" s="5">
        <v>21.656205618677493</v>
      </c>
      <c r="F122" s="5">
        <v>42.421503799683556</v>
      </c>
      <c r="G122" s="5">
        <v>195.33153577018953</v>
      </c>
      <c r="H122" s="5">
        <v>43.11880085916826</v>
      </c>
      <c r="I122" s="5">
        <v>198.91328763798853</v>
      </c>
      <c r="J122" s="5">
        <v>391.33542145877334</v>
      </c>
      <c r="K122" s="5">
        <v>1814.619872218856</v>
      </c>
      <c r="L122" s="12">
        <v>2714.3129524815558</v>
      </c>
      <c r="M122" s="10" t="s">
        <v>41</v>
      </c>
      <c r="N122" s="10">
        <v>1</v>
      </c>
      <c r="O122" s="10">
        <v>2</v>
      </c>
      <c r="P122" s="10" t="s">
        <v>41</v>
      </c>
      <c r="Q122" s="10">
        <v>1</v>
      </c>
      <c r="R122" s="10">
        <v>2</v>
      </c>
      <c r="S122" s="10" t="s">
        <v>11</v>
      </c>
      <c r="T122" s="10" t="s">
        <v>42</v>
      </c>
      <c r="U122" s="10" t="s">
        <v>43</v>
      </c>
      <c r="W122" s="1" t="s">
        <v>20</v>
      </c>
      <c r="X122" s="5">
        <v>2714.3129524815558</v>
      </c>
      <c r="Y122" s="5">
        <v>1814.619872218856</v>
      </c>
      <c r="Z122" s="5">
        <v>899.69308026269982</v>
      </c>
      <c r="AA122" s="8">
        <v>0.3835024361871161</v>
      </c>
      <c r="AB122" s="8">
        <v>0.97997754437512608</v>
      </c>
      <c r="AC122" s="7"/>
    </row>
    <row r="123" spans="1:29">
      <c r="A123" s="7"/>
      <c r="D123" s="12">
        <v>2468.8568304414898</v>
      </c>
      <c r="E123" s="12">
        <v>298.07331597626586</v>
      </c>
      <c r="F123" s="12">
        <v>566.77535981058008</v>
      </c>
      <c r="G123" s="12">
        <v>323.10795209416244</v>
      </c>
      <c r="H123" s="12">
        <v>559.37906225386416</v>
      </c>
      <c r="I123" s="12">
        <v>327.42210151449297</v>
      </c>
      <c r="J123" s="12">
        <v>2742.0725116710646</v>
      </c>
      <c r="K123" s="12">
        <v>2714.3129524815558</v>
      </c>
      <c r="L123" s="1">
        <v>10000.000086243475</v>
      </c>
      <c r="M123" s="10">
        <v>1</v>
      </c>
      <c r="N123" s="5">
        <v>5450.4307617697204</v>
      </c>
      <c r="O123" s="5">
        <v>886.65300240727822</v>
      </c>
      <c r="P123" s="10">
        <v>1</v>
      </c>
      <c r="Q123">
        <v>3.601852902657918E-3</v>
      </c>
      <c r="R123">
        <v>1.1082512047105644</v>
      </c>
      <c r="S123" s="23">
        <v>2.249928461410414</v>
      </c>
      <c r="T123">
        <v>0.86637942029862736</v>
      </c>
      <c r="U123" s="23">
        <v>0.13362057970137264</v>
      </c>
      <c r="W123" s="1" t="s">
        <v>59</v>
      </c>
      <c r="X123" s="7">
        <v>10000.000086243475</v>
      </c>
      <c r="Y123" s="7">
        <v>5576.9678672943501</v>
      </c>
      <c r="Z123" s="7">
        <v>4423.0322189491253</v>
      </c>
      <c r="AA123" s="7">
        <v>1.9277588536436556</v>
      </c>
      <c r="AB123" s="7">
        <v>8.5956252852493549</v>
      </c>
      <c r="AC123" s="11">
        <v>10.523384138893011</v>
      </c>
    </row>
    <row r="124" spans="1:29">
      <c r="A124" s="7"/>
      <c r="M124" s="10">
        <v>2</v>
      </c>
      <c r="N124" s="5">
        <v>886.65300240727822</v>
      </c>
      <c r="O124" s="5">
        <v>2776.2633196591987</v>
      </c>
      <c r="P124" s="10">
        <v>2</v>
      </c>
      <c r="Q124">
        <v>1.1299939871347089</v>
      </c>
      <c r="R124">
        <v>8.0814166624826999E-3</v>
      </c>
      <c r="AC124" s="7" t="s">
        <v>51</v>
      </c>
    </row>
    <row r="125" spans="1:29">
      <c r="A125" s="7"/>
      <c r="C125" s="1" t="s">
        <v>35</v>
      </c>
      <c r="L125" s="7"/>
      <c r="M125" s="7"/>
      <c r="N125" s="7"/>
      <c r="O125" s="7"/>
      <c r="P125" s="7"/>
      <c r="Q125" s="7"/>
      <c r="R125" s="7"/>
      <c r="S125" s="7"/>
      <c r="T125" s="7"/>
      <c r="U125" s="7"/>
      <c r="V125" s="7"/>
      <c r="W125" s="7"/>
      <c r="X125" s="7"/>
      <c r="Y125" s="7"/>
      <c r="Z125" s="7"/>
      <c r="AA125" s="7"/>
      <c r="AB125" s="7"/>
      <c r="AC125" s="7"/>
    </row>
    <row r="126" spans="1:29">
      <c r="A126" s="7"/>
      <c r="C126" s="1"/>
      <c r="D126" s="1" t="s">
        <v>13</v>
      </c>
      <c r="E126" s="1" t="s">
        <v>14</v>
      </c>
      <c r="F126" s="1" t="s">
        <v>15</v>
      </c>
      <c r="G126" s="1" t="s">
        <v>16</v>
      </c>
      <c r="H126" s="1" t="s">
        <v>17</v>
      </c>
      <c r="I126" s="1" t="s">
        <v>18</v>
      </c>
      <c r="J126" s="1" t="s">
        <v>19</v>
      </c>
      <c r="K126" s="1" t="s">
        <v>20</v>
      </c>
      <c r="AC126" s="7"/>
    </row>
    <row r="127" spans="1:29">
      <c r="A127" s="7"/>
      <c r="C127" s="1" t="s">
        <v>13</v>
      </c>
      <c r="D127" s="8">
        <v>-22.565593181529163</v>
      </c>
      <c r="E127" s="8">
        <v>-6.8697513737770208</v>
      </c>
      <c r="F127" s="8">
        <v>23.506244830844459</v>
      </c>
      <c r="G127" s="8">
        <v>10.731975576383803</v>
      </c>
      <c r="H127" s="8">
        <v>-17.680419928222818</v>
      </c>
      <c r="I127" s="8">
        <v>7.4107083601918298</v>
      </c>
      <c r="J127" s="8">
        <v>-9.7927013838203489</v>
      </c>
      <c r="K127" s="8">
        <v>3.6870051670312174</v>
      </c>
      <c r="L127" s="13">
        <v>-11.572531932898041</v>
      </c>
      <c r="AC127" s="7"/>
    </row>
    <row r="128" spans="1:29">
      <c r="A128" s="7"/>
      <c r="C128" s="1" t="s">
        <v>14</v>
      </c>
      <c r="D128" s="8">
        <v>16.642612326187422</v>
      </c>
      <c r="E128" s="8">
        <v>-0.53508704320595635</v>
      </c>
      <c r="F128" s="8">
        <v>-3.5536083490884907</v>
      </c>
      <c r="G128" s="8">
        <v>-0.6970894980644925</v>
      </c>
      <c r="H128" s="8">
        <v>-0.48329225134352471</v>
      </c>
      <c r="I128" s="8">
        <v>4.1150908455600668</v>
      </c>
      <c r="J128" s="8">
        <v>-0.85275064237721332</v>
      </c>
      <c r="K128" s="8">
        <v>4.7529167656724729</v>
      </c>
      <c r="L128" s="13">
        <v>19.388792153340287</v>
      </c>
      <c r="AC128" s="7"/>
    </row>
    <row r="129" spans="1:29">
      <c r="A129" s="7"/>
      <c r="C129" s="1" t="s">
        <v>15</v>
      </c>
      <c r="D129" s="8">
        <v>-4.64464007243064</v>
      </c>
      <c r="E129" s="8">
        <v>5.6171453952877011</v>
      </c>
      <c r="F129" s="8">
        <v>2.6833257931767012</v>
      </c>
      <c r="G129" s="8">
        <v>-2.5859419004208317</v>
      </c>
      <c r="H129" s="8">
        <v>18.01260835601899</v>
      </c>
      <c r="I129" s="8">
        <v>-1.933884576290924</v>
      </c>
      <c r="J129" s="8">
        <v>28.454938485585838</v>
      </c>
      <c r="K129" s="8">
        <v>0.58242282814134216</v>
      </c>
      <c r="L129" s="13">
        <v>46.185974309068179</v>
      </c>
      <c r="AC129" s="7"/>
    </row>
    <row r="130" spans="1:29">
      <c r="A130" s="7"/>
      <c r="C130" s="1" t="s">
        <v>16</v>
      </c>
      <c r="D130" s="8">
        <v>-6.7969861244362955</v>
      </c>
      <c r="E130" s="8">
        <v>1.3871564015522471</v>
      </c>
      <c r="F130" s="8">
        <v>-1.4461222019822615</v>
      </c>
      <c r="G130" s="8">
        <v>1.5949191085032903</v>
      </c>
      <c r="H130" s="8">
        <v>1.164455723111296</v>
      </c>
      <c r="I130" s="8">
        <v>1.3846498845866166</v>
      </c>
      <c r="J130" s="8">
        <v>-5.0592869862852829</v>
      </c>
      <c r="K130" s="8">
        <v>-15.628936154656142</v>
      </c>
      <c r="L130" s="13">
        <v>-23.40015034960653</v>
      </c>
      <c r="AC130" s="7"/>
    </row>
    <row r="131" spans="1:29">
      <c r="A131" s="7"/>
      <c r="C131" s="1" t="s">
        <v>17</v>
      </c>
      <c r="D131" s="8">
        <v>5.4752880199055083</v>
      </c>
      <c r="E131" s="8">
        <v>-1.4360816180015266</v>
      </c>
      <c r="F131" s="8">
        <v>6.9550355293518571</v>
      </c>
      <c r="G131" s="8">
        <v>8.4179009350726863E-2</v>
      </c>
      <c r="H131" s="8">
        <v>-5.1074008699812223</v>
      </c>
      <c r="I131" s="8">
        <v>-1.7564301290086957</v>
      </c>
      <c r="J131" s="8">
        <v>-0.15881184252808755</v>
      </c>
      <c r="K131" s="8">
        <v>-1.1041589387721475</v>
      </c>
      <c r="L131" s="13">
        <v>2.951619160316413</v>
      </c>
      <c r="AC131" s="7"/>
    </row>
    <row r="132" spans="1:29">
      <c r="A132" s="7"/>
      <c r="C132" s="1" t="s">
        <v>18</v>
      </c>
      <c r="D132" s="8">
        <v>-1.4360816180015266</v>
      </c>
      <c r="E132" s="8">
        <v>-1.7438160108497649</v>
      </c>
      <c r="F132" s="8">
        <v>-2.5058168628684423</v>
      </c>
      <c r="G132" s="8">
        <v>5.9547101121967412</v>
      </c>
      <c r="H132" s="8">
        <v>-1.7564301290086957</v>
      </c>
      <c r="I132" s="8">
        <v>1.6095394784271948</v>
      </c>
      <c r="J132" s="8">
        <v>-3.0031865084650411</v>
      </c>
      <c r="K132" s="8">
        <v>-6.7917345065483925</v>
      </c>
      <c r="L132" s="13">
        <v>-9.6728160451179264</v>
      </c>
      <c r="AC132" s="7"/>
    </row>
    <row r="133" spans="1:29">
      <c r="A133" s="7"/>
      <c r="C133" s="1" t="s">
        <v>19</v>
      </c>
      <c r="D133" s="8">
        <v>11.681789150147177</v>
      </c>
      <c r="E133" s="8">
        <v>1.164455723111296</v>
      </c>
      <c r="F133" s="8">
        <v>-12.816464013512626</v>
      </c>
      <c r="G133" s="8">
        <v>0.58242282814134216</v>
      </c>
      <c r="H133" s="8">
        <v>0.84288149591265615</v>
      </c>
      <c r="I133" s="8">
        <v>-5.6625245547095027</v>
      </c>
      <c r="J133" s="8">
        <v>-18.241873826954119</v>
      </c>
      <c r="K133" s="8">
        <v>33.9914048228013</v>
      </c>
      <c r="L133" s="13">
        <v>11.542091624937523</v>
      </c>
      <c r="AC133" s="7"/>
    </row>
    <row r="134" spans="1:29">
      <c r="A134" s="7"/>
      <c r="C134" s="1" t="s">
        <v>20</v>
      </c>
      <c r="D134" s="8">
        <v>3.6870051670312165</v>
      </c>
      <c r="E134" s="8">
        <v>-1.5911954696017658</v>
      </c>
      <c r="F134" s="8">
        <v>-4.1826310832789728</v>
      </c>
      <c r="G134" s="8">
        <v>1.6755697913848377</v>
      </c>
      <c r="H134" s="8">
        <v>-8.0783521351196335</v>
      </c>
      <c r="I134" s="8">
        <v>-12.484750689730694</v>
      </c>
      <c r="J134" s="8">
        <v>-6.283859637142422</v>
      </c>
      <c r="K134" s="8">
        <v>26.570956497355095</v>
      </c>
      <c r="L134" s="13">
        <v>-0.68725755910233843</v>
      </c>
      <c r="AC134" s="7"/>
    </row>
    <row r="135" spans="1:29">
      <c r="A135" s="7"/>
      <c r="D135" s="13">
        <v>2.0433936668736994</v>
      </c>
      <c r="E135" s="13">
        <v>-4.0071739954847896</v>
      </c>
      <c r="F135" s="13">
        <v>8.6399636426422184</v>
      </c>
      <c r="G135" s="13">
        <v>17.340745027475418</v>
      </c>
      <c r="H135" s="13">
        <v>-13.085949738632952</v>
      </c>
      <c r="I135" s="13">
        <v>-7.3176013809741072</v>
      </c>
      <c r="J135" s="13">
        <v>-14.93753234198668</v>
      </c>
      <c r="K135" s="13">
        <v>46.059876481024745</v>
      </c>
      <c r="L135" s="2">
        <v>69.47144272187515</v>
      </c>
      <c r="M135" t="s">
        <v>53</v>
      </c>
      <c r="AC135" s="7"/>
    </row>
    <row r="136" spans="1:29">
      <c r="A136" s="7"/>
      <c r="AC136" s="7"/>
    </row>
    <row r="137" spans="1:29">
      <c r="A137" s="7"/>
      <c r="AC137" s="7"/>
    </row>
    <row r="138" spans="1:29">
      <c r="A138" s="7"/>
      <c r="C138" t="s">
        <v>52</v>
      </c>
      <c r="AC138" s="7"/>
    </row>
    <row r="139" spans="1:29">
      <c r="A139" s="7"/>
      <c r="C139" s="1"/>
      <c r="D139" s="1" t="s">
        <v>13</v>
      </c>
      <c r="E139" s="1" t="s">
        <v>14</v>
      </c>
      <c r="F139" s="1" t="s">
        <v>15</v>
      </c>
      <c r="G139" s="1" t="s">
        <v>16</v>
      </c>
      <c r="H139" s="1" t="s">
        <v>17</v>
      </c>
      <c r="I139" s="1" t="s">
        <v>18</v>
      </c>
      <c r="J139" s="1" t="s">
        <v>19</v>
      </c>
      <c r="K139" s="1" t="s">
        <v>20</v>
      </c>
      <c r="L139" s="7"/>
      <c r="AC139" s="7"/>
    </row>
    <row r="140" spans="1:29">
      <c r="A140" s="7"/>
      <c r="C140" s="1" t="s">
        <v>13</v>
      </c>
      <c r="D140" s="8">
        <v>0.28850591036154988</v>
      </c>
      <c r="E140" s="8">
        <v>0.25105710359001654</v>
      </c>
      <c r="F140" s="8">
        <v>2.5025550134088319</v>
      </c>
      <c r="G140" s="8">
        <v>3.752587512551965</v>
      </c>
      <c r="H140" s="8">
        <v>1.7776148921742894</v>
      </c>
      <c r="I140" s="8">
        <v>1.9728547035086528</v>
      </c>
      <c r="J140" s="8">
        <v>3.1192616538108</v>
      </c>
      <c r="K140" s="8">
        <v>1.374870413693561</v>
      </c>
      <c r="L140" s="14">
        <v>15.039307203099664</v>
      </c>
      <c r="AC140" s="7"/>
    </row>
    <row r="141" spans="1:29">
      <c r="A141" s="7"/>
      <c r="C141" s="1" t="s">
        <v>14</v>
      </c>
      <c r="D141" s="8">
        <v>1.3133657345529095</v>
      </c>
      <c r="E141" s="8">
        <v>1.3634935004136588E-2</v>
      </c>
      <c r="F141" s="8">
        <v>0.70384452772871353</v>
      </c>
      <c r="G141" s="8">
        <v>0.12179121656696965</v>
      </c>
      <c r="H141" s="8">
        <v>1.1122938545752489E-2</v>
      </c>
      <c r="I141" s="8">
        <v>2.1638332646841718</v>
      </c>
      <c r="J141" s="8">
        <v>0.12140142459002358</v>
      </c>
      <c r="K141" s="8">
        <v>0.87127680441562427</v>
      </c>
      <c r="L141" s="14">
        <v>5.3202708460883006</v>
      </c>
      <c r="AC141" s="7"/>
    </row>
    <row r="142" spans="1:29">
      <c r="A142" s="7"/>
      <c r="C142" s="1" t="s">
        <v>15</v>
      </c>
      <c r="D142" s="8">
        <v>0.11120470033051667</v>
      </c>
      <c r="E142" s="8">
        <v>1.1728255463369031</v>
      </c>
      <c r="F142" s="8">
        <v>0.14121369558328251</v>
      </c>
      <c r="G142" s="8">
        <v>1.7308167082052888</v>
      </c>
      <c r="H142" s="8">
        <v>5.6391418546280567</v>
      </c>
      <c r="I142" s="8">
        <v>5.0609105711740261</v>
      </c>
      <c r="J142" s="8">
        <v>3.6033922486105872</v>
      </c>
      <c r="K142" s="8">
        <v>7.8888729489844118E-3</v>
      </c>
      <c r="L142" s="14">
        <v>17.467394197817647</v>
      </c>
      <c r="AC142" s="7"/>
    </row>
    <row r="143" spans="1:29">
      <c r="A143" s="7"/>
      <c r="C143" s="1" t="s">
        <v>16</v>
      </c>
      <c r="D143" s="8">
        <v>3.6354690761626163</v>
      </c>
      <c r="E143" s="8">
        <v>0.32213148339008785</v>
      </c>
      <c r="F143" s="8">
        <v>0.35023544592946393</v>
      </c>
      <c r="G143" s="8">
        <v>0.10602930259545094</v>
      </c>
      <c r="H143" s="8">
        <v>0.16979410732282124</v>
      </c>
      <c r="I143" s="8">
        <v>8.3384105741798678E-2</v>
      </c>
      <c r="J143" s="8">
        <v>0.69287273710939246</v>
      </c>
      <c r="K143" s="8">
        <v>1.3654685074855457</v>
      </c>
      <c r="L143" s="14">
        <v>6.7253847657371777</v>
      </c>
      <c r="AC143" s="7"/>
    </row>
    <row r="144" spans="1:29">
      <c r="A144" s="7"/>
      <c r="C144" s="1" t="s">
        <v>17</v>
      </c>
      <c r="D144" s="8">
        <v>0.14990325647998998</v>
      </c>
      <c r="E144" s="8">
        <v>0.10316083252977966</v>
      </c>
      <c r="F144" s="8">
        <v>0.98885278538668464</v>
      </c>
      <c r="G144" s="8">
        <v>1.0123130016796379E-3</v>
      </c>
      <c r="H144" s="8">
        <v>0.7061348767635176</v>
      </c>
      <c r="I144" s="8">
        <v>0.62338052590776749</v>
      </c>
      <c r="J144" s="8">
        <v>1.2547862009572506E-4</v>
      </c>
      <c r="K144" s="8">
        <v>2.9029456699501136E-2</v>
      </c>
      <c r="L144" s="14">
        <v>2.6015995253890161</v>
      </c>
      <c r="AC144" s="7"/>
    </row>
    <row r="145" spans="1:29">
      <c r="A145" s="7"/>
      <c r="C145" s="1" t="s">
        <v>18</v>
      </c>
      <c r="D145" s="8">
        <v>0.10316083252977966</v>
      </c>
      <c r="E145" s="8">
        <v>1.6192447788596218</v>
      </c>
      <c r="F145" s="8">
        <v>2.2175941948119684</v>
      </c>
      <c r="G145" s="8">
        <v>1.3186122672027838</v>
      </c>
      <c r="H145" s="8">
        <v>0.62338052590776749</v>
      </c>
      <c r="I145" s="8">
        <v>0.10366049184066813</v>
      </c>
      <c r="J145" s="8">
        <v>0.22558416758661934</v>
      </c>
      <c r="K145" s="8">
        <v>0.24027326948889774</v>
      </c>
      <c r="L145" s="14">
        <v>6.4515105282281064</v>
      </c>
      <c r="AC145" s="7"/>
    </row>
    <row r="146" spans="1:29">
      <c r="A146" s="7"/>
      <c r="C146" s="1" t="s">
        <v>19</v>
      </c>
      <c r="D146" s="8">
        <v>2.5852369393331851</v>
      </c>
      <c r="E146" s="8">
        <v>0.16979410732282124</v>
      </c>
      <c r="F146" s="8">
        <v>0.88825652822508105</v>
      </c>
      <c r="G146" s="8">
        <v>7.8888729489844118E-3</v>
      </c>
      <c r="H146" s="8">
        <v>3.5170804305484009E-3</v>
      </c>
      <c r="I146" s="8">
        <v>0.86829232743371876</v>
      </c>
      <c r="J146" s="8">
        <v>0.18507720530793378</v>
      </c>
      <c r="K146" s="8">
        <v>2.7264965877574401</v>
      </c>
      <c r="L146" s="14">
        <v>7.4345596487597136</v>
      </c>
      <c r="AC146" s="7"/>
    </row>
    <row r="147" spans="1:29">
      <c r="A147" s="7"/>
      <c r="C147" s="1" t="s">
        <v>20</v>
      </c>
      <c r="D147" s="8">
        <v>1.3748704136935601</v>
      </c>
      <c r="E147" s="8">
        <v>0.12666194159946331</v>
      </c>
      <c r="F147" s="8">
        <v>0.4608440083343287</v>
      </c>
      <c r="G147" s="8">
        <v>1.4251528178389934E-2</v>
      </c>
      <c r="H147" s="8">
        <v>1.9284517995005246</v>
      </c>
      <c r="I147" s="8">
        <v>0.83832005192588688</v>
      </c>
      <c r="J147" s="8">
        <v>0.10256563259892422</v>
      </c>
      <c r="K147" s="8">
        <v>0.3835024361871161</v>
      </c>
      <c r="L147" s="14">
        <v>5.2294678120181937</v>
      </c>
      <c r="N147">
        <v>0.89584973475742968</v>
      </c>
      <c r="AC147" s="7"/>
    </row>
    <row r="148" spans="1:29">
      <c r="A148" s="7"/>
      <c r="B148" s="7"/>
      <c r="C148" s="7"/>
      <c r="D148" s="14">
        <v>9.5617168634441079</v>
      </c>
      <c r="E148" s="14">
        <v>3.7785107286328299</v>
      </c>
      <c r="F148" s="14">
        <v>8.2533961994083551</v>
      </c>
      <c r="G148" s="14">
        <v>7.0529897212515129</v>
      </c>
      <c r="H148" s="14">
        <v>10.85915807527328</v>
      </c>
      <c r="I148" s="14">
        <v>11.714636042216691</v>
      </c>
      <c r="J148" s="14">
        <v>8.0502805482343778</v>
      </c>
      <c r="K148" s="14">
        <v>6.9988063486766707</v>
      </c>
      <c r="L148" s="15">
        <v>66.269494527137823</v>
      </c>
      <c r="M148" t="s">
        <v>11</v>
      </c>
      <c r="N148" s="7">
        <v>0.10415026524257032</v>
      </c>
      <c r="O148" s="7" t="s">
        <v>61</v>
      </c>
      <c r="P148" s="7"/>
      <c r="Q148" s="7"/>
      <c r="R148" s="7"/>
      <c r="S148" s="7"/>
      <c r="T148" s="7"/>
      <c r="U148" s="7"/>
      <c r="V148" s="7"/>
      <c r="W148" s="7"/>
      <c r="X148" s="7"/>
      <c r="Y148" s="7"/>
      <c r="Z148" s="7"/>
      <c r="AA148" s="7"/>
      <c r="AB148" s="7"/>
      <c r="AC148" s="7"/>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10</vt:i4>
      </vt:variant>
    </vt:vector>
  </HeadingPairs>
  <TitlesOfParts>
    <vt:vector size="10" baseType="lpstr">
      <vt:lpstr>READ_ME</vt:lpstr>
      <vt:lpstr>calcs</vt:lpstr>
      <vt:lpstr>Results=</vt:lpstr>
      <vt:lpstr>Trans_1</vt:lpstr>
      <vt:lpstr>Trans_2</vt:lpstr>
      <vt:lpstr>Trans_3</vt:lpstr>
      <vt:lpstr>Intrans_1</vt:lpstr>
      <vt:lpstr>Intrans_2</vt:lpstr>
      <vt:lpstr>Intrans_3</vt:lpstr>
      <vt:lpstr>iid_1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DIECIDUE Enrico</dc:creator>
  <cp:lastModifiedBy>Michael Birnbaum</cp:lastModifiedBy>
  <dcterms:created xsi:type="dcterms:W3CDTF">2013-04-01T16:23:37Z</dcterms:created>
  <dcterms:modified xsi:type="dcterms:W3CDTF">2020-01-07T23:51:00Z</dcterms:modified>
</cp:coreProperties>
</file>