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showInkAnnotation="0" autoCompressPictures="0"/>
  <bookViews>
    <workbookView xWindow="1180" yWindow="0" windowWidth="24480" windowHeight="18700" activeTab="1"/>
  </bookViews>
  <sheets>
    <sheet name="READ_ME" sheetId="15" r:id="rId1"/>
    <sheet name="Two-Choice_anal_4_errors" sheetId="2" r:id="rId2"/>
  </sheets>
  <definedNames>
    <definedName name="a___">#REF!</definedName>
    <definedName name="a__1">#REF!</definedName>
    <definedName name="a_00">'Two-Choice_anal_4_errors'!$G$5</definedName>
    <definedName name="a_01">'Two-Choice_anal_4_errors'!$H$5</definedName>
    <definedName name="a_1_">#REF!</definedName>
    <definedName name="a_10">'Two-Choice_anal_4_errors'!$I$5</definedName>
    <definedName name="a_11">#REF!</definedName>
    <definedName name="a_111">#REF!</definedName>
    <definedName name="a1__">#REF!</definedName>
    <definedName name="a1_1">#REF!</definedName>
    <definedName name="a11_">'Two-Choice_anal_4_errors'!$J$5</definedName>
    <definedName name="e_">#REF!</definedName>
    <definedName name="e_1">'Two-Choice_anal_4_errors'!$H$2</definedName>
    <definedName name="e_2">'Two-Choice_anal_4_errors'!$H$3</definedName>
    <definedName name="e1_">#REF!</definedName>
    <definedName name="e2_">#REF!</definedName>
    <definedName name="e3_">#REF!</definedName>
    <definedName name="f_1">'Two-Choice_anal_4_errors'!$J$2</definedName>
    <definedName name="f_2">'Two-Choice_anal_4_errors'!$J$3</definedName>
    <definedName name="solver_adj" localSheetId="1" hidden="1">'Two-Choice_anal_4_errors'!$H$2,'Two-Choice_anal_4_errors'!$G$5,'Two-Choice_anal_4_errors'!$J$5,'Two-Choice_anal_4_errors'!$H$2,'Two-Choice_anal_4_errors'!$H$3,'Two-Choice_anal_4_errors'!$J$2,'Two-Choice_anal_4_errors'!$J$3,'Two-Choice_anal_4_errors'!$G$5:$J$5</definedName>
    <definedName name="solver_cvg" localSheetId="1" hidden="1">0.00001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100000</definedName>
    <definedName name="solver_lhs1" localSheetId="1" hidden="1">'Two-Choice_anal_4_errors'!$K$5</definedName>
    <definedName name="solver_lhs10" localSheetId="1" hidden="1">'Two-Choice_anal_4_errors'!$H$2</definedName>
    <definedName name="solver_lhs11" localSheetId="1" hidden="1">'Two-Choice_anal_4_errors'!$H$2</definedName>
    <definedName name="solver_lhs12" localSheetId="1" hidden="1">'Two-Choice_anal_4_errors'!$H$3</definedName>
    <definedName name="solver_lhs13" localSheetId="1" hidden="1">'Two-Choice_anal_4_errors'!$H$3</definedName>
    <definedName name="solver_lhs14" localSheetId="1" hidden="1">'Two-Choice_anal_4_errors'!$J$2</definedName>
    <definedName name="solver_lhs15" localSheetId="1" hidden="1">'Two-Choice_anal_4_errors'!$J$2</definedName>
    <definedName name="solver_lhs16" localSheetId="1" hidden="1">'Two-Choice_anal_4_errors'!$J$3</definedName>
    <definedName name="solver_lhs17" localSheetId="1" hidden="1">'Two-Choice_anal_4_errors'!$J$3</definedName>
    <definedName name="solver_lhs2" localSheetId="1" hidden="1">'Two-Choice_anal_4_errors'!$J$5</definedName>
    <definedName name="solver_lhs3" localSheetId="1" hidden="1">'Two-Choice_anal_4_errors'!$J$5</definedName>
    <definedName name="solver_lhs4" localSheetId="1" hidden="1">'Two-Choice_anal_4_errors'!$G$5</definedName>
    <definedName name="solver_lhs5" localSheetId="1" hidden="1">'Two-Choice_anal_4_errors'!$G$5</definedName>
    <definedName name="solver_lhs6" localSheetId="1" hidden="1">'Two-Choice_anal_4_errors'!$H$5</definedName>
    <definedName name="solver_lhs7" localSheetId="1" hidden="1">'Two-Choice_anal_4_errors'!$H$5</definedName>
    <definedName name="solver_lhs8" localSheetId="1" hidden="1">'Two-Choice_anal_4_errors'!$I$5</definedName>
    <definedName name="solver_lhs9" localSheetId="1" hidden="1">'Two-Choice_anal_4_errors'!$I$5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17</definedName>
    <definedName name="solver_nwt" localSheetId="1" hidden="1">1</definedName>
    <definedName name="solver_opt" localSheetId="1" hidden="1">'Two-Choice_anal_4_errors'!$N$23</definedName>
    <definedName name="solver_pre" localSheetId="1" hidden="1">0.000000001</definedName>
    <definedName name="solver_rbv" localSheetId="1" hidden="1">1</definedName>
    <definedName name="solver_rel1" localSheetId="1" hidden="1">2</definedName>
    <definedName name="solver_rel10" localSheetId="1" hidden="1">1</definedName>
    <definedName name="solver_rel11" localSheetId="1" hidden="1">3</definedName>
    <definedName name="solver_rel12" localSheetId="1" hidden="1">1</definedName>
    <definedName name="solver_rel13" localSheetId="1" hidden="1">3</definedName>
    <definedName name="solver_rel14" localSheetId="1" hidden="1">1</definedName>
    <definedName name="solver_rel15" localSheetId="1" hidden="1">3</definedName>
    <definedName name="solver_rel16" localSheetId="1" hidden="1">1</definedName>
    <definedName name="solver_rel17" localSheetId="1" hidden="1">3</definedName>
    <definedName name="solver_rel2" localSheetId="1" hidden="1">1</definedName>
    <definedName name="solver_rel3" localSheetId="1" hidden="1">3</definedName>
    <definedName name="solver_rel4" localSheetId="1" hidden="1">1</definedName>
    <definedName name="solver_rel5" localSheetId="1" hidden="1">3</definedName>
    <definedName name="solver_rel6" localSheetId="1" hidden="1">1</definedName>
    <definedName name="solver_rel7" localSheetId="1" hidden="1">3</definedName>
    <definedName name="solver_rel8" localSheetId="1" hidden="1">1</definedName>
    <definedName name="solver_rel9" localSheetId="1" hidden="1">3</definedName>
    <definedName name="solver_rhs1" localSheetId="1" hidden="1">1</definedName>
    <definedName name="solver_rhs10" localSheetId="1" hidden="1">0.499999999999</definedName>
    <definedName name="solver_rhs11" localSheetId="1" hidden="1">0.00000000001</definedName>
    <definedName name="solver_rhs12" localSheetId="1" hidden="1">0.499999999999</definedName>
    <definedName name="solver_rhs13" localSheetId="1" hidden="1">0.000000000001</definedName>
    <definedName name="solver_rhs14" localSheetId="1" hidden="1">0.499999999</definedName>
    <definedName name="solver_rhs15" localSheetId="1" hidden="1">0.00000000001</definedName>
    <definedName name="solver_rhs16" localSheetId="1" hidden="1">0.499999999</definedName>
    <definedName name="solver_rhs17" localSheetId="1" hidden="1">0.0000000001</definedName>
    <definedName name="solver_rhs2" localSheetId="1" hidden="1">0.999999999999</definedName>
    <definedName name="solver_rhs3" localSheetId="1" hidden="1">0.0000000000001</definedName>
    <definedName name="solver_rhs4" localSheetId="1" hidden="1">0.999999999999</definedName>
    <definedName name="solver_rhs5" localSheetId="1" hidden="1">0.0000000000001</definedName>
    <definedName name="solver_rhs6" localSheetId="1" hidden="1">0.9999999999999</definedName>
    <definedName name="solver_rhs7" localSheetId="1" hidden="1">0.0000000000001</definedName>
    <definedName name="solver_rhs8" localSheetId="1" hidden="1">0.999999999999</definedName>
    <definedName name="solver_rhs9" localSheetId="1" hidden="1">0.0000000000001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10000</definedName>
    <definedName name="solver_tol" localSheetId="1" hidden="1">0.005</definedName>
    <definedName name="solver_typ" localSheetId="1" hidden="1">2</definedName>
    <definedName name="solver_val" localSheetId="1" hidden="1">0</definedName>
    <definedName name="solver_ver" localSheetId="1" hidden="1">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H7" i="2"/>
  <c r="I7" i="2"/>
  <c r="J7" i="2"/>
  <c r="K7" i="2"/>
  <c r="L7" i="2"/>
  <c r="N7" i="2"/>
  <c r="G8" i="2"/>
  <c r="H8" i="2"/>
  <c r="I8" i="2"/>
  <c r="J8" i="2"/>
  <c r="K8" i="2"/>
  <c r="L8" i="2"/>
  <c r="N8" i="2"/>
  <c r="G9" i="2"/>
  <c r="H9" i="2"/>
  <c r="I9" i="2"/>
  <c r="J9" i="2"/>
  <c r="K9" i="2"/>
  <c r="L9" i="2"/>
  <c r="N9" i="2"/>
  <c r="G10" i="2"/>
  <c r="H10" i="2"/>
  <c r="I10" i="2"/>
  <c r="J10" i="2"/>
  <c r="K10" i="2"/>
  <c r="L10" i="2"/>
  <c r="N10" i="2"/>
  <c r="G11" i="2"/>
  <c r="H11" i="2"/>
  <c r="I11" i="2"/>
  <c r="J11" i="2"/>
  <c r="K11" i="2"/>
  <c r="L11" i="2"/>
  <c r="N11" i="2"/>
  <c r="G12" i="2"/>
  <c r="H12" i="2"/>
  <c r="I12" i="2"/>
  <c r="J12" i="2"/>
  <c r="K12" i="2"/>
  <c r="L12" i="2"/>
  <c r="N12" i="2"/>
  <c r="G13" i="2"/>
  <c r="H13" i="2"/>
  <c r="I13" i="2"/>
  <c r="J13" i="2"/>
  <c r="K13" i="2"/>
  <c r="L13" i="2"/>
  <c r="N13" i="2"/>
  <c r="G14" i="2"/>
  <c r="H14" i="2"/>
  <c r="I14" i="2"/>
  <c r="J14" i="2"/>
  <c r="K14" i="2"/>
  <c r="L14" i="2"/>
  <c r="N14" i="2"/>
  <c r="G15" i="2"/>
  <c r="H15" i="2"/>
  <c r="I15" i="2"/>
  <c r="J15" i="2"/>
  <c r="K15" i="2"/>
  <c r="L15" i="2"/>
  <c r="N15" i="2"/>
  <c r="G16" i="2"/>
  <c r="H16" i="2"/>
  <c r="I16" i="2"/>
  <c r="J16" i="2"/>
  <c r="K16" i="2"/>
  <c r="L16" i="2"/>
  <c r="N16" i="2"/>
  <c r="G17" i="2"/>
  <c r="H17" i="2"/>
  <c r="I17" i="2"/>
  <c r="J17" i="2"/>
  <c r="K17" i="2"/>
  <c r="L17" i="2"/>
  <c r="N17" i="2"/>
  <c r="G18" i="2"/>
  <c r="H18" i="2"/>
  <c r="I18" i="2"/>
  <c r="J18" i="2"/>
  <c r="K18" i="2"/>
  <c r="L18" i="2"/>
  <c r="N18" i="2"/>
  <c r="G19" i="2"/>
  <c r="H19" i="2"/>
  <c r="I19" i="2"/>
  <c r="J19" i="2"/>
  <c r="K19" i="2"/>
  <c r="L19" i="2"/>
  <c r="N19" i="2"/>
  <c r="G20" i="2"/>
  <c r="H20" i="2"/>
  <c r="I20" i="2"/>
  <c r="J20" i="2"/>
  <c r="K20" i="2"/>
  <c r="L20" i="2"/>
  <c r="N20" i="2"/>
  <c r="G21" i="2"/>
  <c r="H21" i="2"/>
  <c r="I21" i="2"/>
  <c r="J21" i="2"/>
  <c r="K21" i="2"/>
  <c r="L21" i="2"/>
  <c r="N21" i="2"/>
  <c r="G22" i="2"/>
  <c r="H22" i="2"/>
  <c r="I22" i="2"/>
  <c r="J22" i="2"/>
  <c r="K22" i="2"/>
  <c r="L22" i="2"/>
  <c r="N22" i="2"/>
  <c r="N23" i="2"/>
  <c r="K2" i="2"/>
  <c r="F23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AD26" i="2"/>
  <c r="AC26" i="2"/>
  <c r="AB26" i="2"/>
  <c r="AA26" i="2"/>
  <c r="Z26" i="2"/>
  <c r="Y26" i="2"/>
  <c r="X26" i="2"/>
  <c r="W26" i="2"/>
  <c r="V26" i="2"/>
  <c r="G25" i="2"/>
  <c r="H26" i="2"/>
  <c r="I27" i="2"/>
  <c r="J28" i="2"/>
  <c r="AH27" i="2"/>
  <c r="L25" i="2"/>
  <c r="M26" i="2"/>
  <c r="N27" i="2"/>
  <c r="O28" i="2"/>
  <c r="AH26" i="2"/>
  <c r="AR27" i="2"/>
  <c r="R9" i="2"/>
  <c r="S9" i="2"/>
  <c r="T9" i="2"/>
  <c r="AO6" i="2"/>
  <c r="AO7" i="2"/>
  <c r="S8" i="2"/>
  <c r="S10" i="2"/>
  <c r="AP6" i="2"/>
  <c r="AP7" i="2"/>
  <c r="R14" i="2"/>
  <c r="S14" i="2"/>
  <c r="T14" i="2"/>
  <c r="AQ6" i="2"/>
  <c r="AQ7" i="2"/>
  <c r="S13" i="2"/>
  <c r="S15" i="2"/>
  <c r="AR6" i="2"/>
  <c r="AR7" i="2"/>
  <c r="AS7" i="2"/>
  <c r="AX7" i="2"/>
  <c r="AV26" i="2"/>
  <c r="AO12" i="2"/>
  <c r="AP12" i="2"/>
  <c r="AQ12" i="2"/>
  <c r="AR12" i="2"/>
  <c r="AS12" i="2"/>
  <c r="AX12" i="2"/>
  <c r="AW27" i="2"/>
  <c r="AO17" i="2"/>
  <c r="AP17" i="2"/>
  <c r="AQ17" i="2"/>
  <c r="AR17" i="2"/>
  <c r="AS17" i="2"/>
  <c r="AX17" i="2"/>
  <c r="AX28" i="2"/>
  <c r="AO22" i="2"/>
  <c r="AP22" i="2"/>
  <c r="AQ22" i="2"/>
  <c r="AR22" i="2"/>
  <c r="AS22" i="2"/>
  <c r="AX22" i="2"/>
  <c r="AY29" i="2"/>
  <c r="AR26" i="2"/>
  <c r="V2" i="2"/>
  <c r="AD4" i="2"/>
  <c r="AC4" i="2"/>
  <c r="AB4" i="2"/>
  <c r="AA4" i="2"/>
  <c r="Z4" i="2"/>
  <c r="Y4" i="2"/>
  <c r="X4" i="2"/>
  <c r="W4" i="2"/>
  <c r="V4" i="2"/>
  <c r="AY7" i="2"/>
  <c r="AO8" i="2"/>
  <c r="AP8" i="2"/>
  <c r="AQ8" i="2"/>
  <c r="AR8" i="2"/>
  <c r="AS8" i="2"/>
  <c r="AX8" i="2"/>
  <c r="AY8" i="2"/>
  <c r="AO9" i="2"/>
  <c r="AP9" i="2"/>
  <c r="AQ9" i="2"/>
  <c r="AR9" i="2"/>
  <c r="AS9" i="2"/>
  <c r="AX9" i="2"/>
  <c r="AY9" i="2"/>
  <c r="AO10" i="2"/>
  <c r="AP10" i="2"/>
  <c r="AQ10" i="2"/>
  <c r="AR10" i="2"/>
  <c r="AS10" i="2"/>
  <c r="AX10" i="2"/>
  <c r="AY10" i="2"/>
  <c r="AO11" i="2"/>
  <c r="AP11" i="2"/>
  <c r="AQ11" i="2"/>
  <c r="AR11" i="2"/>
  <c r="AS11" i="2"/>
  <c r="AX11" i="2"/>
  <c r="AY11" i="2"/>
  <c r="AY12" i="2"/>
  <c r="AO13" i="2"/>
  <c r="AP13" i="2"/>
  <c r="AQ13" i="2"/>
  <c r="AR13" i="2"/>
  <c r="AS13" i="2"/>
  <c r="AX13" i="2"/>
  <c r="AY13" i="2"/>
  <c r="AO14" i="2"/>
  <c r="AP14" i="2"/>
  <c r="AQ14" i="2"/>
  <c r="AR14" i="2"/>
  <c r="AS14" i="2"/>
  <c r="AX14" i="2"/>
  <c r="AY14" i="2"/>
  <c r="AO15" i="2"/>
  <c r="AP15" i="2"/>
  <c r="AQ15" i="2"/>
  <c r="AR15" i="2"/>
  <c r="AS15" i="2"/>
  <c r="AX15" i="2"/>
  <c r="AY15" i="2"/>
  <c r="AO16" i="2"/>
  <c r="AP16" i="2"/>
  <c r="AQ16" i="2"/>
  <c r="AR16" i="2"/>
  <c r="AS16" i="2"/>
  <c r="AX16" i="2"/>
  <c r="AY16" i="2"/>
  <c r="AY17" i="2"/>
  <c r="AO18" i="2"/>
  <c r="AP18" i="2"/>
  <c r="AQ18" i="2"/>
  <c r="AR18" i="2"/>
  <c r="AS18" i="2"/>
  <c r="AX18" i="2"/>
  <c r="AY18" i="2"/>
  <c r="AO19" i="2"/>
  <c r="AP19" i="2"/>
  <c r="AQ19" i="2"/>
  <c r="AR19" i="2"/>
  <c r="AS19" i="2"/>
  <c r="AX19" i="2"/>
  <c r="AY19" i="2"/>
  <c r="AO20" i="2"/>
  <c r="AP20" i="2"/>
  <c r="AQ20" i="2"/>
  <c r="AR20" i="2"/>
  <c r="AS20" i="2"/>
  <c r="AX20" i="2"/>
  <c r="AY20" i="2"/>
  <c r="AO21" i="2"/>
  <c r="AP21" i="2"/>
  <c r="AQ21" i="2"/>
  <c r="AR21" i="2"/>
  <c r="AS21" i="2"/>
  <c r="AX21" i="2"/>
  <c r="AY21" i="2"/>
  <c r="AY22" i="2"/>
  <c r="AQ25" i="2"/>
  <c r="BA1189" i="2"/>
  <c r="AX29" i="2"/>
  <c r="AW29" i="2"/>
  <c r="AV29" i="2"/>
  <c r="AY28" i="2"/>
  <c r="AW28" i="2"/>
  <c r="AV28" i="2"/>
  <c r="AY27" i="2"/>
  <c r="AX27" i="2"/>
  <c r="AV27" i="2"/>
  <c r="AY26" i="2"/>
  <c r="AX26" i="2"/>
  <c r="AW26" i="2"/>
  <c r="AX23" i="2"/>
  <c r="AS23" i="2"/>
  <c r="R3" i="2"/>
  <c r="S3" i="2"/>
  <c r="T3" i="2"/>
  <c r="R4" i="2"/>
  <c r="S4" i="2"/>
  <c r="T4" i="2"/>
  <c r="K5" i="2"/>
  <c r="R5" i="2"/>
  <c r="S5" i="2"/>
  <c r="T5" i="2"/>
  <c r="AM7" i="2"/>
  <c r="R8" i="2"/>
  <c r="T8" i="2"/>
  <c r="W8" i="2"/>
  <c r="X8" i="2"/>
  <c r="Y8" i="2"/>
  <c r="L23" i="2"/>
  <c r="AB8" i="2"/>
  <c r="AC8" i="2"/>
  <c r="AD8" i="2"/>
  <c r="AM8" i="2"/>
  <c r="W9" i="2"/>
  <c r="X9" i="2"/>
  <c r="Y9" i="2"/>
  <c r="AB9" i="2"/>
  <c r="AC9" i="2"/>
  <c r="AD9" i="2"/>
  <c r="AG9" i="2"/>
  <c r="AH9" i="2"/>
  <c r="AJ9" i="2"/>
  <c r="AK9" i="2"/>
  <c r="AM9" i="2"/>
  <c r="R10" i="2"/>
  <c r="T10" i="2"/>
  <c r="W10" i="2"/>
  <c r="X10" i="2"/>
  <c r="Y10" i="2"/>
  <c r="AB10" i="2"/>
  <c r="AC10" i="2"/>
  <c r="AD10" i="2"/>
  <c r="AG10" i="2"/>
  <c r="AH10" i="2"/>
  <c r="AJ10" i="2"/>
  <c r="AK10" i="2"/>
  <c r="AM10" i="2"/>
  <c r="Z11" i="2"/>
  <c r="AM11" i="2"/>
  <c r="AG12" i="2"/>
  <c r="AH12" i="2"/>
  <c r="AJ12" i="2"/>
  <c r="AK12" i="2"/>
  <c r="AM12" i="2"/>
  <c r="R13" i="2"/>
  <c r="T13" i="2"/>
  <c r="W13" i="2"/>
  <c r="X13" i="2"/>
  <c r="Y13" i="2"/>
  <c r="AB13" i="2"/>
  <c r="AC13" i="2"/>
  <c r="AD13" i="2"/>
  <c r="AG13" i="2"/>
  <c r="AH13" i="2"/>
  <c r="AJ13" i="2"/>
  <c r="AK13" i="2"/>
  <c r="AM13" i="2"/>
  <c r="W14" i="2"/>
  <c r="X14" i="2"/>
  <c r="Y14" i="2"/>
  <c r="AB14" i="2"/>
  <c r="AC14" i="2"/>
  <c r="AD14" i="2"/>
  <c r="AM14" i="2"/>
  <c r="R15" i="2"/>
  <c r="T15" i="2"/>
  <c r="W15" i="2"/>
  <c r="X15" i="2"/>
  <c r="Y15" i="2"/>
  <c r="AB15" i="2"/>
  <c r="AC15" i="2"/>
  <c r="AD15" i="2"/>
  <c r="AG15" i="2"/>
  <c r="AH15" i="2"/>
  <c r="AJ15" i="2"/>
  <c r="AK15" i="2"/>
  <c r="AM15" i="2"/>
  <c r="Z16" i="2"/>
  <c r="AG16" i="2"/>
  <c r="AH16" i="2"/>
  <c r="AJ16" i="2"/>
  <c r="AK16" i="2"/>
  <c r="AM16" i="2"/>
  <c r="AM17" i="2"/>
  <c r="R18" i="2"/>
  <c r="S18" i="2"/>
  <c r="T18" i="2"/>
  <c r="W18" i="2"/>
  <c r="X18" i="2"/>
  <c r="Y18" i="2"/>
  <c r="AB18" i="2"/>
  <c r="AC18" i="2"/>
  <c r="AD18" i="2"/>
  <c r="AG18" i="2"/>
  <c r="AH18" i="2"/>
  <c r="AJ18" i="2"/>
  <c r="AK18" i="2"/>
  <c r="AM18" i="2"/>
  <c r="R19" i="2"/>
  <c r="S19" i="2"/>
  <c r="T19" i="2"/>
  <c r="W19" i="2"/>
  <c r="X19" i="2"/>
  <c r="Y19" i="2"/>
  <c r="AB19" i="2"/>
  <c r="AC19" i="2"/>
  <c r="AD19" i="2"/>
  <c r="AG19" i="2"/>
  <c r="AH19" i="2"/>
  <c r="AJ19" i="2"/>
  <c r="AK19" i="2"/>
  <c r="AM19" i="2"/>
  <c r="R20" i="2"/>
  <c r="S20" i="2"/>
  <c r="T20" i="2"/>
  <c r="W20" i="2"/>
  <c r="X20" i="2"/>
  <c r="Y20" i="2"/>
  <c r="AB20" i="2"/>
  <c r="AC20" i="2"/>
  <c r="AD20" i="2"/>
  <c r="AM20" i="2"/>
  <c r="Z21" i="2"/>
  <c r="AM21" i="2"/>
  <c r="AM22" i="2"/>
  <c r="G23" i="2"/>
  <c r="H23" i="2"/>
  <c r="I23" i="2"/>
  <c r="J23" i="2"/>
  <c r="K23" i="2"/>
  <c r="AM23" i="2"/>
  <c r="H25" i="2"/>
  <c r="I25" i="2"/>
  <c r="J25" i="2"/>
  <c r="M25" i="2"/>
  <c r="N25" i="2"/>
  <c r="O25" i="2"/>
  <c r="G26" i="2"/>
  <c r="I26" i="2"/>
  <c r="J26" i="2"/>
  <c r="L26" i="2"/>
  <c r="N26" i="2"/>
  <c r="O26" i="2"/>
  <c r="G27" i="2"/>
  <c r="H27" i="2"/>
  <c r="J27" i="2"/>
  <c r="L27" i="2"/>
  <c r="M27" i="2"/>
  <c r="O27" i="2"/>
  <c r="G28" i="2"/>
  <c r="H28" i="2"/>
  <c r="I28" i="2"/>
  <c r="L28" i="2"/>
  <c r="M28" i="2"/>
  <c r="N28" i="2"/>
</calcChain>
</file>

<file path=xl/sharedStrings.xml><?xml version="1.0" encoding="utf-8"?>
<sst xmlns="http://schemas.openxmlformats.org/spreadsheetml/2006/main" count="206" uniqueCount="75">
  <si>
    <t>G-terms</t>
  </si>
  <si>
    <t xml:space="preserve">FITS DATA TO 2 CHOICES with 2 REPS </t>
  </si>
  <si>
    <t>DATA</t>
  </si>
  <si>
    <t>CHISQ-terms</t>
  </si>
  <si>
    <t>S</t>
  </si>
  <si>
    <t>R</t>
  </si>
  <si>
    <t>S'</t>
  </si>
  <si>
    <t>R'</t>
  </si>
  <si>
    <t>PREDICTED</t>
  </si>
  <si>
    <t>PRED</t>
  </si>
  <si>
    <t>DATA</t>
    <phoneticPr fontId="2"/>
  </si>
  <si>
    <t>PREDS</t>
    <phoneticPr fontId="2"/>
  </si>
  <si>
    <t>ABS DEV</t>
  </si>
  <si>
    <t>SS'</t>
  </si>
  <si>
    <t>SR'</t>
  </si>
  <si>
    <t>RS'</t>
  </si>
  <si>
    <t>RR'</t>
  </si>
  <si>
    <t>f_1</t>
  </si>
  <si>
    <t>f_2</t>
  </si>
  <si>
    <t>code</t>
  </si>
  <si>
    <t>Pattern</t>
  </si>
  <si>
    <t>a_00</t>
  </si>
  <si>
    <t>a_01</t>
  </si>
  <si>
    <t>a_10</t>
  </si>
  <si>
    <t>ACTIVE</t>
  </si>
  <si>
    <t>PREDS</t>
  </si>
  <si>
    <t>a_11</t>
  </si>
  <si>
    <t>e_1</t>
  </si>
  <si>
    <t>e_2</t>
  </si>
  <si>
    <t>PRED_FREQ</t>
  </si>
  <si>
    <t>INDEPENDENCE</t>
  </si>
  <si>
    <t>FREQ</t>
  </si>
  <si>
    <t>Independence</t>
  </si>
  <si>
    <t>CHISQ_terms</t>
  </si>
  <si>
    <t>fit</t>
  </si>
  <si>
    <t>Sum Diagonal</t>
  </si>
  <si>
    <t>DATA_</t>
  </si>
  <si>
    <t>Chi-Square Test of Response Independence</t>
  </si>
  <si>
    <t>SUMS</t>
  </si>
  <si>
    <t>This spreadsheet is set up to fit the TE-4 Model.  It can also be used to fit TE-2, TE-1, or any other special case of TE-4, including TE-4 plus EU, for example</t>
  </si>
  <si>
    <t>Two Choice problems with two replicates each.</t>
  </si>
  <si>
    <t>Enter data in F7:F22 (colored green)</t>
  </si>
  <si>
    <t>To constrain the errors, for TE-2, type "=H2" in cell J2, and type "=H3" in cell J3.  Then allow H2 and H3 to vary in the Solver, but leave J2 and J3 out of the solver.</t>
  </si>
  <si>
    <t>Other analyses are available and possible with the sheet.</t>
  </si>
  <si>
    <t>Response independence is not implied by the TE mdoels but is implied by certain random utility or random preference models</t>
  </si>
  <si>
    <t>Parameters representing the Error terms are in H2:H3 and in J2:J3 (colored yellow)</t>
  </si>
  <si>
    <t>Parameters representing the "True" probabilities are in G5:J5. (also colored in yellow)</t>
  </si>
  <si>
    <t>Use the solver (be sure it is installed) to minimize cell K2 (colored pink and currently set up to minimize Chi-Square of fit of TE model)</t>
  </si>
  <si>
    <t>DATA AND PREDICTIONS ARE COPIED HERE IN MATRIX FORM FOR CONVENIENCE</t>
  </si>
  <si>
    <t>Choice between S and R</t>
  </si>
  <si>
    <t>Choice between S' and R'</t>
  </si>
  <si>
    <t>Diagram of the 4 error model</t>
  </si>
  <si>
    <t>rep1</t>
  </si>
  <si>
    <t>rep2</t>
  </si>
  <si>
    <t xml:space="preserve">The sum of the a parameters is in K5, and this sum must be constrained to be 1. </t>
  </si>
  <si>
    <t>To fit the EU model, type ".000000001" in cells H5 and I5, and do not include them as free in the solver. (they are not listed as changing variable cells.)</t>
  </si>
  <si>
    <t xml:space="preserve">An example of the Solver parameters is shown in the figure below (TE-2).  Note that the parameters, a, are constrained to be between 0 and 1; the parameters of e and f are constrained to be between 0 and 0.5. </t>
  </si>
  <si>
    <t>(The roles of e and f are reversed in the Excel sheet compared to this figure)</t>
  </si>
  <si>
    <t>Choice 1 is between S and R; Choice 2 is between S' and R'</t>
  </si>
  <si>
    <t>Response of 0 indicates choice of the S or S' gamble; Response coded 1 indicates choice of R or R'</t>
  </si>
  <si>
    <t>Order of Cells:RR'RR', RR'RS', … SS'SS'</t>
  </si>
  <si>
    <t>a00 = probability of RR', a01 = probability of RS', a10 = probability of SR', a11 = prob of SS'</t>
  </si>
  <si>
    <t>READ ME notes on how to use the spreadsheet:  (Be sure to install the Solver in Excel (from Add-ins)</t>
  </si>
  <si>
    <t>TE theory</t>
  </si>
  <si>
    <t>Indep Theory</t>
  </si>
  <si>
    <t>Chi-Squares of Fit to each 2 X 2 Marginal Matrix</t>
  </si>
  <si>
    <t>Parameters</t>
  </si>
  <si>
    <t>e1</t>
  </si>
  <si>
    <t>e2</t>
  </si>
  <si>
    <t>f1</t>
  </si>
  <si>
    <t>f2</t>
  </si>
  <si>
    <t>chi2</t>
  </si>
  <si>
    <t>Set up for Chi-Square</t>
  </si>
  <si>
    <t>For example, the G index is also calculated, and could be minimized instead of Chi-Square. Cell M23</t>
  </si>
  <si>
    <t xml:space="preserve">A standard Chi-Square test of response independence is in Cell AQ25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</si>
</sst>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"/>
  </numFmts>
  <fonts count="4" x14ac:knownFonts="1">
    <font>
      <sz val="9"/>
      <name val="Geneva"/>
    </font>
    <font>
      <b/>
      <sz val="9"/>
      <name val="Geneva"/>
    </font>
    <font>
      <sz val="8"/>
      <name val="Geneva"/>
    </font>
    <font>
      <b/>
      <sz val="12"/>
      <name val="Geneva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59E9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0" fillId="3" borderId="0" xfId="0" applyFill="1"/>
    <xf numFmtId="164" fontId="0" fillId="2" borderId="0" xfId="0" applyNumberFormat="1" applyFill="1"/>
    <xf numFmtId="0" fontId="1" fillId="0" borderId="0" xfId="0" applyFont="1"/>
    <xf numFmtId="164" fontId="0" fillId="3" borderId="0" xfId="0" applyNumberFormat="1" applyFill="1"/>
    <xf numFmtId="1" fontId="0" fillId="0" borderId="0" xfId="0" applyNumberFormat="1"/>
    <xf numFmtId="2" fontId="0" fillId="2" borderId="0" xfId="0" applyNumberFormat="1" applyFill="1"/>
    <xf numFmtId="166" fontId="0" fillId="0" borderId="0" xfId="0" applyNumberFormat="1"/>
    <xf numFmtId="4" fontId="0" fillId="0" borderId="0" xfId="0" applyNumberFormat="1"/>
    <xf numFmtId="0" fontId="1" fillId="5" borderId="0" xfId="0" applyFont="1" applyFill="1"/>
    <xf numFmtId="2" fontId="1" fillId="5" borderId="0" xfId="0" applyNumberFormat="1" applyFont="1" applyFill="1"/>
    <xf numFmtId="0" fontId="0" fillId="6" borderId="0" xfId="0" applyFill="1"/>
    <xf numFmtId="0" fontId="3" fillId="0" borderId="0" xfId="0" applyFont="1"/>
    <xf numFmtId="2" fontId="0" fillId="7" borderId="0" xfId="0" applyNumberFormat="1" applyFont="1" applyFill="1"/>
    <xf numFmtId="164" fontId="0" fillId="4" borderId="0" xfId="0" quotePrefix="1" applyNumberFormat="1" applyFill="1"/>
    <xf numFmtId="2" fontId="0" fillId="3" borderId="0" xfId="0" applyNumberFormat="1" applyFill="1"/>
    <xf numFmtId="0" fontId="0" fillId="6" borderId="0" xfId="0" applyFill="1"/>
    <xf numFmtId="166" fontId="0" fillId="0" borderId="0" xfId="0" applyNumberFormat="1" applyFill="1"/>
    <xf numFmtId="0" fontId="0" fillId="8" borderId="0" xfId="0" applyFill="1"/>
    <xf numFmtId="0" fontId="1" fillId="2" borderId="0" xfId="0" applyFont="1" applyFill="1"/>
    <xf numFmtId="2" fontId="0" fillId="0" borderId="0" xfId="0" applyNumberFormat="1" applyFill="1"/>
    <xf numFmtId="0" fontId="1" fillId="9" borderId="0" xfId="0" applyFont="1" applyFill="1"/>
    <xf numFmtId="0" fontId="0" fillId="10" borderId="0" xfId="0" applyFill="1"/>
    <xf numFmtId="0" fontId="0" fillId="11" borderId="0" xfId="0" applyFill="1"/>
    <xf numFmtId="0" fontId="1" fillId="11" borderId="0" xfId="0" applyFont="1" applyFill="1"/>
    <xf numFmtId="0" fontId="1" fillId="5" borderId="0" xfId="0" applyFont="1" applyFill="1"/>
    <xf numFmtId="0" fontId="0" fillId="12" borderId="0" xfId="0" applyFill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30</xdr:row>
      <xdr:rowOff>0</xdr:rowOff>
    </xdr:from>
    <xdr:to>
      <xdr:col>16</xdr:col>
      <xdr:colOff>139700</xdr:colOff>
      <xdr:row>70</xdr:row>
      <xdr:rowOff>101600</xdr:rowOff>
    </xdr:to>
    <xdr:pic>
      <xdr:nvPicPr>
        <xdr:cNvPr id="113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4991100"/>
          <a:ext cx="5092700" cy="670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673100</xdr:colOff>
      <xdr:row>28</xdr:row>
      <xdr:rowOff>139700</xdr:rowOff>
    </xdr:from>
    <xdr:to>
      <xdr:col>9</xdr:col>
      <xdr:colOff>419100</xdr:colOff>
      <xdr:row>55</xdr:row>
      <xdr:rowOff>0</xdr:rowOff>
    </xdr:to>
    <xdr:pic>
      <xdr:nvPicPr>
        <xdr:cNvPr id="113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4800600"/>
          <a:ext cx="7175500" cy="431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25" zoomScaleNormal="125" zoomScalePageLayoutView="125" workbookViewId="0">
      <selection activeCell="B23" sqref="B23"/>
    </sheetView>
  </sheetViews>
  <sheetFormatPr baseColWidth="10" defaultRowHeight="13" x14ac:dyDescent="0"/>
  <sheetData>
    <row r="1" spans="1:9" ht="16">
      <c r="A1" s="15" t="s">
        <v>62</v>
      </c>
    </row>
    <row r="3" spans="1:9">
      <c r="B3" s="6" t="s">
        <v>39</v>
      </c>
    </row>
    <row r="5" spans="1:9">
      <c r="B5" s="6" t="s">
        <v>40</v>
      </c>
      <c r="F5" t="s">
        <v>58</v>
      </c>
    </row>
    <row r="6" spans="1:9">
      <c r="F6" t="s">
        <v>59</v>
      </c>
    </row>
    <row r="7" spans="1:9">
      <c r="A7" s="25"/>
      <c r="B7" t="s">
        <v>41</v>
      </c>
      <c r="F7" t="s">
        <v>60</v>
      </c>
    </row>
    <row r="9" spans="1:9">
      <c r="A9" s="29"/>
      <c r="B9" t="s">
        <v>45</v>
      </c>
    </row>
    <row r="11" spans="1:9">
      <c r="C11" t="s">
        <v>42</v>
      </c>
    </row>
    <row r="13" spans="1:9">
      <c r="A13" s="29"/>
      <c r="B13" t="s">
        <v>46</v>
      </c>
      <c r="I13" t="s">
        <v>61</v>
      </c>
    </row>
    <row r="15" spans="1:9">
      <c r="C15" t="s">
        <v>55</v>
      </c>
    </row>
    <row r="17" spans="1:10">
      <c r="A17" s="18"/>
      <c r="B17" t="s">
        <v>47</v>
      </c>
    </row>
    <row r="18" spans="1:10">
      <c r="D18" t="s">
        <v>56</v>
      </c>
    </row>
    <row r="19" spans="1:10">
      <c r="D19" t="s">
        <v>54</v>
      </c>
    </row>
    <row r="20" spans="1:10">
      <c r="B20" t="s">
        <v>43</v>
      </c>
      <c r="F20" t="s">
        <v>73</v>
      </c>
    </row>
    <row r="22" spans="1:10">
      <c r="A22" s="16"/>
      <c r="B22" t="s">
        <v>74</v>
      </c>
    </row>
    <row r="24" spans="1:10">
      <c r="C24" t="s">
        <v>44</v>
      </c>
    </row>
    <row r="26" spans="1:10">
      <c r="B26" t="s">
        <v>51</v>
      </c>
    </row>
    <row r="27" spans="1:10">
      <c r="B27" t="s">
        <v>49</v>
      </c>
      <c r="F27" t="s">
        <v>50</v>
      </c>
    </row>
    <row r="28" spans="1:10">
      <c r="J28" t="s">
        <v>57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89"/>
  <sheetViews>
    <sheetView tabSelected="1" zoomScale="125" zoomScaleNormal="125" zoomScalePageLayoutView="125" workbookViewId="0">
      <selection activeCell="AQ25" sqref="AQ25"/>
    </sheetView>
  </sheetViews>
  <sheetFormatPr baseColWidth="10" defaultRowHeight="13" x14ac:dyDescent="0"/>
  <cols>
    <col min="1" max="1" width="6.6640625" customWidth="1"/>
    <col min="2" max="2" width="3.1640625" customWidth="1"/>
    <col min="3" max="4" width="2.83203125" customWidth="1"/>
    <col min="5" max="5" width="3.1640625" customWidth="1"/>
    <col min="6" max="6" width="7.5" customWidth="1"/>
    <col min="7" max="7" width="8.1640625" customWidth="1"/>
    <col min="8" max="8" width="7.83203125" customWidth="1"/>
    <col min="9" max="9" width="8.1640625" customWidth="1"/>
    <col min="10" max="10" width="7.83203125" customWidth="1"/>
    <col min="11" max="11" width="8.6640625" customWidth="1"/>
    <col min="12" max="13" width="7.33203125" customWidth="1"/>
    <col min="14" max="14" width="8.33203125" customWidth="1"/>
    <col min="15" max="15" width="7.33203125" customWidth="1"/>
    <col min="16" max="16" width="4" customWidth="1"/>
    <col min="17" max="17" width="8.1640625" customWidth="1"/>
    <col min="18" max="18" width="6.6640625" customWidth="1"/>
    <col min="19" max="20" width="5.6640625" customWidth="1"/>
    <col min="21" max="21" width="3" customWidth="1"/>
    <col min="22" max="22" width="6.33203125" customWidth="1"/>
    <col min="23" max="23" width="5.33203125" customWidth="1"/>
    <col min="24" max="25" width="5.5" customWidth="1"/>
    <col min="26" max="26" width="7.33203125" customWidth="1"/>
    <col min="27" max="27" width="6.5" customWidth="1"/>
    <col min="28" max="29" width="7" customWidth="1"/>
    <col min="30" max="30" width="7.6640625" customWidth="1"/>
    <col min="31" max="31" width="2.6640625" customWidth="1"/>
    <col min="32" max="32" width="7.33203125" customWidth="1"/>
    <col min="33" max="33" width="6.33203125" customWidth="1"/>
    <col min="34" max="34" width="5.83203125" customWidth="1"/>
    <col min="35" max="35" width="5.33203125" customWidth="1"/>
    <col min="36" max="36" width="7.6640625" customWidth="1"/>
    <col min="37" max="37" width="6.1640625" customWidth="1"/>
    <col min="38" max="38" width="3.6640625" customWidth="1"/>
    <col min="39" max="39" width="6.33203125" customWidth="1"/>
    <col min="40" max="40" width="3.5" customWidth="1"/>
    <col min="41" max="41" width="5.6640625" customWidth="1"/>
    <col min="42" max="42" width="5.83203125" bestFit="1" customWidth="1"/>
    <col min="43" max="43" width="6.83203125" bestFit="1" customWidth="1"/>
    <col min="44" max="44" width="5.83203125" bestFit="1" customWidth="1"/>
    <col min="45" max="45" width="4.6640625" customWidth="1"/>
    <col min="46" max="49" width="4.33203125" customWidth="1"/>
    <col min="50" max="50" width="6.1640625" customWidth="1"/>
    <col min="51" max="51" width="6.6640625" customWidth="1"/>
    <col min="52" max="52" width="4.6640625" customWidth="1"/>
    <col min="53" max="54" width="7.1640625" customWidth="1"/>
    <col min="55" max="55" width="8.1640625" customWidth="1"/>
    <col min="56" max="56" width="7.33203125" customWidth="1"/>
    <col min="57" max="57" width="4.83203125" customWidth="1"/>
    <col min="58" max="58" width="4.6640625" customWidth="1"/>
    <col min="59" max="59" width="2.83203125" customWidth="1"/>
  </cols>
  <sheetData>
    <row r="1" spans="1:52">
      <c r="A1" s="6" t="s">
        <v>1</v>
      </c>
      <c r="H1" s="14"/>
      <c r="I1" s="14"/>
      <c r="J1" s="14"/>
      <c r="K1" s="14"/>
      <c r="L1" s="14"/>
      <c r="M1" s="14"/>
      <c r="N1" s="14"/>
      <c r="O1" s="14"/>
      <c r="P1" s="6" t="s">
        <v>24</v>
      </c>
      <c r="Q1" s="1"/>
      <c r="R1" s="1"/>
      <c r="S1" s="1"/>
      <c r="T1" s="1"/>
      <c r="U1" s="1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</row>
    <row r="2" spans="1:52">
      <c r="B2" t="s">
        <v>52</v>
      </c>
      <c r="D2" t="s">
        <v>53</v>
      </c>
      <c r="G2" t="s">
        <v>27</v>
      </c>
      <c r="H2" s="17">
        <v>1.0000007766297614E-11</v>
      </c>
      <c r="I2" t="s">
        <v>17</v>
      </c>
      <c r="J2" s="17">
        <v>0.33420707686602913</v>
      </c>
      <c r="K2" s="18">
        <f>N23</f>
        <v>8.6753896690347059</v>
      </c>
      <c r="L2" t="s">
        <v>72</v>
      </c>
      <c r="P2" s="1"/>
      <c r="Q2" t="s">
        <v>66</v>
      </c>
      <c r="R2" t="s">
        <v>7</v>
      </c>
      <c r="S2" t="s">
        <v>6</v>
      </c>
      <c r="U2" s="1"/>
      <c r="V2" s="27" t="str">
        <f>A1</f>
        <v xml:space="preserve">FITS DATA TO 2 CHOICES with 2 REPS </v>
      </c>
      <c r="W2" s="26"/>
      <c r="X2" s="26"/>
      <c r="Y2" s="26"/>
      <c r="Z2" s="26"/>
      <c r="AA2" s="26"/>
      <c r="AB2" s="26"/>
      <c r="AC2" s="26"/>
      <c r="AD2" s="26"/>
      <c r="AZ2" s="14"/>
    </row>
    <row r="3" spans="1:52">
      <c r="B3" t="s">
        <v>5</v>
      </c>
      <c r="C3" t="s">
        <v>7</v>
      </c>
      <c r="D3" t="s">
        <v>5</v>
      </c>
      <c r="E3" t="s">
        <v>7</v>
      </c>
      <c r="G3" t="s">
        <v>28</v>
      </c>
      <c r="H3" s="17">
        <v>9.9999869496159022E-13</v>
      </c>
      <c r="I3" t="s">
        <v>18</v>
      </c>
      <c r="J3" s="17">
        <v>0.12620743136860449</v>
      </c>
      <c r="P3" s="1"/>
      <c r="Q3" t="s">
        <v>5</v>
      </c>
      <c r="R3" s="23">
        <f>a_00</f>
        <v>2.273048735613075E-2</v>
      </c>
      <c r="S3" s="23">
        <f>a_01</f>
        <v>0.45505088727817217</v>
      </c>
      <c r="T3" s="2">
        <f>SUM(R3:S3)</f>
        <v>0.47778137463430292</v>
      </c>
      <c r="U3" s="1"/>
      <c r="V3" s="26" t="s">
        <v>21</v>
      </c>
      <c r="W3" s="26" t="s">
        <v>22</v>
      </c>
      <c r="X3" s="26" t="s">
        <v>23</v>
      </c>
      <c r="Y3" s="26" t="s">
        <v>26</v>
      </c>
      <c r="Z3" s="26" t="s">
        <v>27</v>
      </c>
      <c r="AA3" s="26" t="s">
        <v>28</v>
      </c>
      <c r="AB3" s="26" t="s">
        <v>17</v>
      </c>
      <c r="AC3" s="26" t="s">
        <v>18</v>
      </c>
      <c r="AD3" s="26" t="s">
        <v>34</v>
      </c>
      <c r="AO3" s="6" t="s">
        <v>30</v>
      </c>
      <c r="AZ3" s="14"/>
    </row>
    <row r="4" spans="1:52">
      <c r="B4" t="s">
        <v>4</v>
      </c>
      <c r="C4" t="s">
        <v>6</v>
      </c>
      <c r="D4" t="s">
        <v>4</v>
      </c>
      <c r="E4" t="s">
        <v>6</v>
      </c>
      <c r="G4" t="s">
        <v>21</v>
      </c>
      <c r="H4" t="s">
        <v>22</v>
      </c>
      <c r="I4" t="s">
        <v>23</v>
      </c>
      <c r="J4" t="s">
        <v>26</v>
      </c>
      <c r="P4" s="1"/>
      <c r="Q4" t="s">
        <v>4</v>
      </c>
      <c r="R4" s="23">
        <f>a_10</f>
        <v>4.5936716311687879E-2</v>
      </c>
      <c r="S4" s="23">
        <f>a11_</f>
        <v>0.47628190905420881</v>
      </c>
      <c r="T4" s="2">
        <f>SUM(R4:S4)</f>
        <v>0.52221862536589669</v>
      </c>
      <c r="U4" s="1"/>
      <c r="V4">
        <f>a_00</f>
        <v>2.273048735613075E-2</v>
      </c>
      <c r="W4">
        <f>a_01</f>
        <v>0.45505088727817217</v>
      </c>
      <c r="X4">
        <f>a_10</f>
        <v>4.5936716311687879E-2</v>
      </c>
      <c r="Y4">
        <f>a11_</f>
        <v>0.47628190905420881</v>
      </c>
      <c r="Z4">
        <f>e_1</f>
        <v>1.0000007766297614E-11</v>
      </c>
      <c r="AA4">
        <f>e_2</f>
        <v>9.9999869496159022E-13</v>
      </c>
      <c r="AB4">
        <f>f_1</f>
        <v>0.33420707686602913</v>
      </c>
      <c r="AC4">
        <f>f_2</f>
        <v>0.12620743136860449</v>
      </c>
      <c r="AD4" s="2">
        <f>K2</f>
        <v>8.6753896690347059</v>
      </c>
      <c r="AO4" t="s">
        <v>5</v>
      </c>
      <c r="AP4" t="s">
        <v>7</v>
      </c>
      <c r="AQ4" t="s">
        <v>5</v>
      </c>
      <c r="AR4" t="s">
        <v>7</v>
      </c>
      <c r="AZ4" s="14"/>
    </row>
    <row r="5" spans="1:52">
      <c r="G5" s="17">
        <v>2.273048735613075E-2</v>
      </c>
      <c r="H5" s="17">
        <v>0.45505088727817217</v>
      </c>
      <c r="I5" s="17">
        <v>4.5936716311687879E-2</v>
      </c>
      <c r="J5" s="17">
        <v>0.47628190905420881</v>
      </c>
      <c r="K5" s="1">
        <f>a_00+a_01+a_10+a11_</f>
        <v>1.0000000000001996</v>
      </c>
      <c r="P5" s="1"/>
      <c r="R5" s="2">
        <f>SUM(R3:R4)</f>
        <v>6.866720366781863E-2</v>
      </c>
      <c r="S5" s="2">
        <f>SUM(S3:S4)</f>
        <v>0.93133279633238097</v>
      </c>
      <c r="T5" s="2">
        <f>SUM(R5:S5)</f>
        <v>1.0000000000001996</v>
      </c>
      <c r="U5" s="1"/>
      <c r="AO5" t="s">
        <v>4</v>
      </c>
      <c r="AP5" t="s">
        <v>6</v>
      </c>
      <c r="AQ5" t="s">
        <v>4</v>
      </c>
      <c r="AR5" t="s">
        <v>6</v>
      </c>
      <c r="AX5" t="s">
        <v>9</v>
      </c>
      <c r="AZ5" s="14"/>
    </row>
    <row r="6" spans="1:52">
      <c r="A6" s="1" t="s">
        <v>19</v>
      </c>
      <c r="B6" s="1" t="s">
        <v>20</v>
      </c>
      <c r="C6" s="1"/>
      <c r="D6" s="1"/>
      <c r="E6" s="1"/>
      <c r="F6" s="21" t="s">
        <v>36</v>
      </c>
      <c r="G6" s="1"/>
      <c r="H6" s="1"/>
      <c r="I6" s="1"/>
      <c r="J6" s="1"/>
      <c r="K6" s="22" t="s">
        <v>9</v>
      </c>
      <c r="L6" s="22" t="s">
        <v>29</v>
      </c>
      <c r="M6" s="22" t="s">
        <v>0</v>
      </c>
      <c r="N6" s="22" t="s">
        <v>3</v>
      </c>
      <c r="O6" s="1"/>
      <c r="P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 t="s">
        <v>12</v>
      </c>
      <c r="AN6" s="12"/>
      <c r="AO6" s="13">
        <f>T9</f>
        <v>0.3364485981308411</v>
      </c>
      <c r="AP6" s="13">
        <f>S10</f>
        <v>0.80373831775700921</v>
      </c>
      <c r="AQ6" s="13">
        <f>T14</f>
        <v>0.3364485981308411</v>
      </c>
      <c r="AR6" s="13">
        <f>S15</f>
        <v>0.85046728971962615</v>
      </c>
      <c r="AS6" s="12" t="s">
        <v>9</v>
      </c>
      <c r="AT6" s="12" t="s">
        <v>20</v>
      </c>
      <c r="AU6" s="1"/>
      <c r="AV6" s="1"/>
      <c r="AW6" s="1"/>
      <c r="AX6" s="1" t="s">
        <v>31</v>
      </c>
      <c r="AY6" s="14" t="s">
        <v>33</v>
      </c>
      <c r="AZ6" s="14"/>
    </row>
    <row r="7" spans="1:52">
      <c r="A7" s="26">
        <v>0</v>
      </c>
      <c r="B7">
        <v>0</v>
      </c>
      <c r="C7">
        <v>0</v>
      </c>
      <c r="D7">
        <v>0</v>
      </c>
      <c r="E7">
        <v>0</v>
      </c>
      <c r="F7" s="25">
        <v>4</v>
      </c>
      <c r="G7" s="3">
        <f>a_00*(1-e_1)*(1-e_2)*(1-e_1)*(1-e_2)</f>
        <v>2.2730487355630685E-2</v>
      </c>
      <c r="H7" s="3">
        <f>a_01*(1-e_1)*(f_2)*(1-e_1)*(f_2)</f>
        <v>7.2481942068492976E-3</v>
      </c>
      <c r="I7" s="3">
        <f>a_10*(f_1)*(1-e_2)*(f_1)*(1-e_2)</f>
        <v>5.1308725987355046E-3</v>
      </c>
      <c r="J7" s="3">
        <f>a11_*(f_1)*(f_2)*(f_1)*(f_2)</f>
        <v>8.4735466590078051E-4</v>
      </c>
      <c r="K7" s="3">
        <f t="shared" ref="K7:K22" si="0">G7+H7+I7+J7</f>
        <v>3.5956908827116267E-2</v>
      </c>
      <c r="L7" s="3">
        <f t="shared" ref="L7:L22" si="1">$F$23*K7</f>
        <v>3.8473892445014406</v>
      </c>
      <c r="M7" s="3">
        <f t="shared" ref="M7:M22" si="2">IF(F7&gt;0,F7*LN(F7/L7),0)</f>
        <v>0.15559824463091937</v>
      </c>
      <c r="N7" s="3">
        <f t="shared" ref="N7:N22" si="3">POWER(L7-F7,2)/L7</f>
        <v>6.0534667052798011E-3</v>
      </c>
      <c r="P7" s="1"/>
      <c r="Q7" t="s">
        <v>2</v>
      </c>
      <c r="R7" t="s">
        <v>7</v>
      </c>
      <c r="S7" t="s">
        <v>6</v>
      </c>
      <c r="U7" s="1"/>
      <c r="V7" t="s">
        <v>2</v>
      </c>
      <c r="W7" t="s">
        <v>5</v>
      </c>
      <c r="X7" t="s">
        <v>4</v>
      </c>
      <c r="AA7" t="s">
        <v>25</v>
      </c>
      <c r="AB7" t="s">
        <v>5</v>
      </c>
      <c r="AC7" t="s">
        <v>4</v>
      </c>
      <c r="AE7" s="1"/>
      <c r="AG7" t="s">
        <v>2</v>
      </c>
      <c r="AJ7" t="s">
        <v>25</v>
      </c>
      <c r="AM7" s="9">
        <f t="shared" ref="AM7:AM22" si="4">ABS(F7-L7)</f>
        <v>0.1526107554985594</v>
      </c>
      <c r="AO7" s="11">
        <f t="shared" ref="AO7:AO22" si="5">IF(AT7=0,1-AO$6,AO$6)</f>
        <v>0.66355140186915884</v>
      </c>
      <c r="AP7" s="11">
        <f t="shared" ref="AP7:AP22" si="6">IF(AU7=0,1-AP$6,AP$6)</f>
        <v>0.19626168224299079</v>
      </c>
      <c r="AQ7" s="11">
        <f t="shared" ref="AQ7:AQ22" si="7">IF(AV7=0,1-AQ$6,AQ$6)</f>
        <v>0.66355140186915884</v>
      </c>
      <c r="AR7" s="11">
        <f t="shared" ref="AR7:AR22" si="8">IF(AW7=0,1-AR$6,AR$6)</f>
        <v>0.14953271028037385</v>
      </c>
      <c r="AS7" s="11">
        <f t="shared" ref="AS7:AS22" si="9">AO7*AP7*AQ7*AR7</f>
        <v>1.2921736006810099E-2</v>
      </c>
      <c r="AT7">
        <v>0</v>
      </c>
      <c r="AU7">
        <v>0</v>
      </c>
      <c r="AV7">
        <v>0</v>
      </c>
      <c r="AW7">
        <v>0</v>
      </c>
      <c r="AX7">
        <f t="shared" ref="AX7:AX22" si="10">$F$23*AS7</f>
        <v>1.3826257527286805</v>
      </c>
      <c r="AY7">
        <f>POWER(F7-AX7,2)/AX7</f>
        <v>4.9548100321139064</v>
      </c>
      <c r="AZ7" s="14"/>
    </row>
    <row r="8" spans="1:52">
      <c r="A8" s="26">
        <v>1</v>
      </c>
      <c r="B8">
        <v>0</v>
      </c>
      <c r="C8">
        <v>0</v>
      </c>
      <c r="D8">
        <v>0</v>
      </c>
      <c r="E8">
        <v>1</v>
      </c>
      <c r="F8" s="25">
        <v>8</v>
      </c>
      <c r="G8" s="3">
        <f>a_00*(1-e_1)*(1-e_2)*(1-e_1)*e_2</f>
        <v>2.2730457691494342E-14</v>
      </c>
      <c r="H8" s="3">
        <f>a_01*(1-e_1)*(f_2)*(1-e_1)*(1-f_2)</f>
        <v>5.0182609417384574E-2</v>
      </c>
      <c r="I8" s="3">
        <f>a_10*(f_1)*(1-e_2)*(f_1)*(e_2)</f>
        <v>5.1308659027548179E-15</v>
      </c>
      <c r="J8" s="3">
        <f>a11_*(f_1)*(f_2)*(f_1)*(1-f_2)</f>
        <v>5.8666292628741894E-3</v>
      </c>
      <c r="K8" s="3">
        <f t="shared" si="0"/>
        <v>5.604923868028662E-2</v>
      </c>
      <c r="L8" s="3">
        <f t="shared" si="1"/>
        <v>5.9972685387906681</v>
      </c>
      <c r="M8" s="3">
        <f t="shared" si="2"/>
        <v>2.3050993571317404</v>
      </c>
      <c r="N8" s="3">
        <f t="shared" si="3"/>
        <v>0.66879334813419222</v>
      </c>
      <c r="P8" s="1"/>
      <c r="Q8" t="s">
        <v>5</v>
      </c>
      <c r="R8" s="2">
        <f>(F7+F8+F9+F10)/F23</f>
        <v>0.13084112149532709</v>
      </c>
      <c r="S8" s="2">
        <f>(F11+F12+F13+F14)/F23</f>
        <v>0.53271028037383172</v>
      </c>
      <c r="T8" s="2">
        <f>SUM(R8:S8)</f>
        <v>0.66355140186915884</v>
      </c>
      <c r="U8" s="1"/>
      <c r="V8" t="s">
        <v>5</v>
      </c>
      <c r="W8" s="2">
        <f>(F7+F8+F11+F12)/(F23)</f>
        <v>0.55140186915887845</v>
      </c>
      <c r="X8" s="2">
        <f>(F9+F10+F13+F14)/F23</f>
        <v>0.11214953271028037</v>
      </c>
      <c r="Y8" s="2">
        <f>W8+X8</f>
        <v>0.66355140186915884</v>
      </c>
      <c r="AA8" t="s">
        <v>5</v>
      </c>
      <c r="AB8" s="2">
        <f>(L7+L8+L11+L12)/L23</f>
        <v>0.53611025510586918</v>
      </c>
      <c r="AC8" s="2">
        <f>(L9+L10+L13+L14)/L23</f>
        <v>0.11620027979205805</v>
      </c>
      <c r="AD8" s="2">
        <f>AB8+AC8</f>
        <v>0.65231053489792723</v>
      </c>
      <c r="AE8" s="1"/>
      <c r="AF8" s="6" t="s">
        <v>16</v>
      </c>
      <c r="AG8" t="s">
        <v>7</v>
      </c>
      <c r="AH8" t="s">
        <v>6</v>
      </c>
      <c r="AI8" s="24"/>
      <c r="AJ8" t="s">
        <v>7</v>
      </c>
      <c r="AK8" t="s">
        <v>6</v>
      </c>
      <c r="AM8" s="9">
        <f t="shared" si="4"/>
        <v>2.0027314612093319</v>
      </c>
      <c r="AO8" s="11">
        <f t="shared" si="5"/>
        <v>0.66355140186915884</v>
      </c>
      <c r="AP8" s="11">
        <f t="shared" si="6"/>
        <v>0.19626168224299079</v>
      </c>
      <c r="AQ8" s="11">
        <f t="shared" si="7"/>
        <v>0.66355140186915884</v>
      </c>
      <c r="AR8" s="11">
        <f t="shared" si="8"/>
        <v>0.85046728971962615</v>
      </c>
      <c r="AS8" s="11">
        <f t="shared" si="9"/>
        <v>7.3492373538732433E-2</v>
      </c>
      <c r="AT8">
        <v>0</v>
      </c>
      <c r="AU8">
        <v>0</v>
      </c>
      <c r="AV8">
        <v>0</v>
      </c>
      <c r="AW8">
        <v>1</v>
      </c>
      <c r="AX8">
        <f t="shared" si="10"/>
        <v>7.86368396864437</v>
      </c>
      <c r="AY8">
        <f t="shared" ref="AY8:AY22" si="11">POWER(F8-AX8,2)/AX8</f>
        <v>2.3630222779352714E-3</v>
      </c>
      <c r="AZ8" s="14"/>
    </row>
    <row r="9" spans="1:52">
      <c r="A9" s="26">
        <v>2</v>
      </c>
      <c r="B9">
        <v>0</v>
      </c>
      <c r="C9">
        <v>0</v>
      </c>
      <c r="D9">
        <v>1</v>
      </c>
      <c r="E9">
        <v>0</v>
      </c>
      <c r="F9" s="25">
        <v>2</v>
      </c>
      <c r="G9" s="3">
        <f>a_00*(1-e_1)*(1-e_2)*e_1*(1-e_2)</f>
        <v>2.2730505009030959E-13</v>
      </c>
      <c r="H9" s="3">
        <f>a_01*(1-e_1)*(f_2)*(e_1)*(f_2)</f>
        <v>7.2481998360851172E-14</v>
      </c>
      <c r="I9" s="3">
        <f>a_10*(f_1)*(1-e_2)*(1-f_1)*(1-e_2)</f>
        <v>1.0221503080587037E-2</v>
      </c>
      <c r="J9" s="3">
        <f>a11_*(f_1)*(f_2)*(1-f_1)*(f_2)</f>
        <v>1.688063416345433E-3</v>
      </c>
      <c r="K9" s="3">
        <f t="shared" si="0"/>
        <v>1.1909566497232255E-2</v>
      </c>
      <c r="L9" s="3">
        <f t="shared" si="1"/>
        <v>1.2743236152038513</v>
      </c>
      <c r="M9" s="3">
        <f t="shared" si="2"/>
        <v>0.90146328118534713</v>
      </c>
      <c r="N9" s="3">
        <f t="shared" si="3"/>
        <v>0.41324370761705442</v>
      </c>
      <c r="P9" s="1"/>
      <c r="Q9" t="s">
        <v>4</v>
      </c>
      <c r="R9" s="2">
        <f>(F15+F16+F17+F18)/F23</f>
        <v>6.5420560747663545E-2</v>
      </c>
      <c r="S9" s="2">
        <f>(F19+F20+F21+F22)/F23</f>
        <v>0.27102803738317754</v>
      </c>
      <c r="T9" s="2">
        <f>SUM(R9:S9)</f>
        <v>0.3364485981308411</v>
      </c>
      <c r="U9" s="1"/>
      <c r="V9" t="s">
        <v>4</v>
      </c>
      <c r="W9" s="2">
        <f>(F15+F16+F19+F20)/F23</f>
        <v>0.11214953271028037</v>
      </c>
      <c r="X9" s="2">
        <f>(F17+F18+F21+F22)/F23</f>
        <v>0.22429906542056074</v>
      </c>
      <c r="Y9" s="2">
        <f>W9+X9</f>
        <v>0.3364485981308411</v>
      </c>
      <c r="AA9" t="s">
        <v>4</v>
      </c>
      <c r="AB9" s="2">
        <f>(L15+L16+L19+L20)/L23</f>
        <v>0.11620027979205805</v>
      </c>
      <c r="AC9" s="2">
        <f>(L17+L18+L21+L22)/L23</f>
        <v>0.23148918531001478</v>
      </c>
      <c r="AD9" s="2">
        <f>AB9+AC9</f>
        <v>0.34768946510207283</v>
      </c>
      <c r="AE9" s="1"/>
      <c r="AF9" s="6"/>
      <c r="AG9">
        <f>F7</f>
        <v>4</v>
      </c>
      <c r="AH9">
        <f>F8</f>
        <v>8</v>
      </c>
      <c r="AI9" s="24" t="s">
        <v>5</v>
      </c>
      <c r="AJ9" s="20">
        <f>L7</f>
        <v>3.8473892445014406</v>
      </c>
      <c r="AK9" s="10">
        <f>L8</f>
        <v>5.9972685387906681</v>
      </c>
      <c r="AM9" s="9">
        <f t="shared" si="4"/>
        <v>0.72567638479614871</v>
      </c>
      <c r="AO9" s="11">
        <f t="shared" si="5"/>
        <v>0.66355140186915884</v>
      </c>
      <c r="AP9" s="11">
        <f t="shared" si="6"/>
        <v>0.19626168224299079</v>
      </c>
      <c r="AQ9" s="11">
        <f t="shared" si="7"/>
        <v>0.3364485981308411</v>
      </c>
      <c r="AR9" s="11">
        <f t="shared" si="8"/>
        <v>0.14953271028037385</v>
      </c>
      <c r="AS9" s="11">
        <f t="shared" si="9"/>
        <v>6.5518661442980786E-3</v>
      </c>
      <c r="AT9">
        <v>0</v>
      </c>
      <c r="AU9">
        <v>0</v>
      </c>
      <c r="AV9">
        <v>1</v>
      </c>
      <c r="AW9">
        <v>0</v>
      </c>
      <c r="AX9">
        <f t="shared" si="10"/>
        <v>0.70104967743989444</v>
      </c>
      <c r="AY9">
        <f t="shared" si="11"/>
        <v>2.4067794263034421</v>
      </c>
      <c r="AZ9" s="14"/>
    </row>
    <row r="10" spans="1:52">
      <c r="A10" s="26">
        <v>3</v>
      </c>
      <c r="B10">
        <v>0</v>
      </c>
      <c r="C10">
        <v>0</v>
      </c>
      <c r="D10">
        <v>1</v>
      </c>
      <c r="E10">
        <v>1</v>
      </c>
      <c r="F10" s="25">
        <v>0</v>
      </c>
      <c r="G10" s="3">
        <f>a_00*(1-e_1)*(1-e_2)*e_1*(e_2)</f>
        <v>2.2730475344871579E-25</v>
      </c>
      <c r="H10" s="3">
        <f>a_01*(1-e_1)*(f_2)*(e_1)*(1-f_2)</f>
        <v>5.0182648391194373E-13</v>
      </c>
      <c r="I10" s="3">
        <f>a_10*(f_1)*(1-e_2)*(1-f_1)*(e_2)</f>
        <v>1.0221489741143132E-14</v>
      </c>
      <c r="J10" s="3">
        <f>a11_*(f_1)*(f_2)*(1-f_1)*(1-f_2)</f>
        <v>1.1687245771393554E-2</v>
      </c>
      <c r="K10" s="3">
        <f t="shared" si="0"/>
        <v>1.1687245771905603E-2</v>
      </c>
      <c r="L10" s="3">
        <f t="shared" si="1"/>
        <v>1.2505352975938995</v>
      </c>
      <c r="M10" s="3">
        <f t="shared" si="2"/>
        <v>0</v>
      </c>
      <c r="N10" s="3">
        <f t="shared" si="3"/>
        <v>1.2505352975938995</v>
      </c>
      <c r="P10" s="1"/>
      <c r="R10" s="2">
        <f>SUM(R8:R9)</f>
        <v>0.19626168224299062</v>
      </c>
      <c r="S10" s="2">
        <f>SUM(S8:S9)</f>
        <v>0.80373831775700921</v>
      </c>
      <c r="T10" s="2">
        <f>SUM(R10:S10)</f>
        <v>0.99999999999999978</v>
      </c>
      <c r="U10" s="1"/>
      <c r="W10">
        <f>W8+W9</f>
        <v>0.66355140186915884</v>
      </c>
      <c r="X10">
        <f>X8+X9</f>
        <v>0.3364485981308411</v>
      </c>
      <c r="Y10">
        <f>Y8+Y9</f>
        <v>1</v>
      </c>
      <c r="AB10" s="2">
        <f>AB8+AB9</f>
        <v>0.65231053489792723</v>
      </c>
      <c r="AC10" s="2">
        <f>AC8+AC9</f>
        <v>0.34768946510207283</v>
      </c>
      <c r="AD10">
        <f>AB10+AC10</f>
        <v>1</v>
      </c>
      <c r="AE10" s="1"/>
      <c r="AF10" s="6"/>
      <c r="AG10">
        <f>F9</f>
        <v>2</v>
      </c>
      <c r="AH10">
        <f>F10</f>
        <v>0</v>
      </c>
      <c r="AI10" s="24" t="s">
        <v>4</v>
      </c>
      <c r="AJ10" s="10">
        <f>L9</f>
        <v>1.2743236152038513</v>
      </c>
      <c r="AK10" s="10">
        <f>L10</f>
        <v>1.2505352975938995</v>
      </c>
      <c r="AM10" s="9">
        <f t="shared" si="4"/>
        <v>1.2505352975938995</v>
      </c>
      <c r="AO10" s="11">
        <f t="shared" si="5"/>
        <v>0.66355140186915884</v>
      </c>
      <c r="AP10" s="11">
        <f t="shared" si="6"/>
        <v>0.19626168224299079</v>
      </c>
      <c r="AQ10" s="11">
        <f t="shared" si="7"/>
        <v>0.3364485981308411</v>
      </c>
      <c r="AR10" s="11">
        <f t="shared" si="8"/>
        <v>0.85046728971962615</v>
      </c>
      <c r="AS10" s="11">
        <f t="shared" si="9"/>
        <v>3.7263738695695318E-2</v>
      </c>
      <c r="AT10">
        <v>0</v>
      </c>
      <c r="AU10">
        <v>0</v>
      </c>
      <c r="AV10">
        <v>1</v>
      </c>
      <c r="AW10">
        <v>1</v>
      </c>
      <c r="AX10">
        <f t="shared" si="10"/>
        <v>3.9872200404393991</v>
      </c>
      <c r="AY10">
        <f t="shared" si="11"/>
        <v>3.9872200404393991</v>
      </c>
      <c r="AZ10" s="14"/>
    </row>
    <row r="11" spans="1:52">
      <c r="A11" s="26">
        <v>4</v>
      </c>
      <c r="B11">
        <v>0</v>
      </c>
      <c r="C11">
        <v>1</v>
      </c>
      <c r="D11">
        <v>0</v>
      </c>
      <c r="E11">
        <v>0</v>
      </c>
      <c r="F11" s="25">
        <v>4</v>
      </c>
      <c r="G11" s="3">
        <f>a_00*(1-e_1)*(e_2)*(1-e_1)*(1-e_2)</f>
        <v>2.2730457691494339E-14</v>
      </c>
      <c r="H11" s="3">
        <f>a_01*(1-e_1)*(1-f_2)*(1-e_1)*(f_2)</f>
        <v>5.0182609417384574E-2</v>
      </c>
      <c r="I11" s="3">
        <f>a_10*(f_1)*(e_2)*(f_1)*(1-e_2)</f>
        <v>5.1308659027548187E-15</v>
      </c>
      <c r="J11" s="3">
        <f>a11_*(f_1)*(1-f_2)*(f_1)*(f_2)</f>
        <v>5.8666292628741894E-3</v>
      </c>
      <c r="K11" s="3">
        <f t="shared" si="0"/>
        <v>5.604923868028662E-2</v>
      </c>
      <c r="L11" s="3">
        <f t="shared" si="1"/>
        <v>5.9972685387906681</v>
      </c>
      <c r="M11" s="3">
        <f t="shared" si="2"/>
        <v>-1.6200390436739112</v>
      </c>
      <c r="N11" s="3">
        <f t="shared" si="3"/>
        <v>0.66514974112654912</v>
      </c>
      <c r="P11" s="1"/>
      <c r="R11" s="2"/>
      <c r="S11" s="2"/>
      <c r="T11" s="2"/>
      <c r="U11" s="1"/>
      <c r="Z11" s="4">
        <f>(POWER(W8-AB8,2)/AB8+POWER(X8-AC8,2)/AC8+POWER(W9-AB9,2)/AB9+POWER(X9-AC9,2)/AC9)*F23</f>
        <v>0.10078462271397937</v>
      </c>
      <c r="AE11" s="1"/>
      <c r="AF11" s="6" t="s">
        <v>15</v>
      </c>
      <c r="AG11" t="s">
        <v>7</v>
      </c>
      <c r="AH11" t="s">
        <v>6</v>
      </c>
      <c r="AI11" s="24"/>
      <c r="AJ11" t="s">
        <v>7</v>
      </c>
      <c r="AK11" t="s">
        <v>6</v>
      </c>
      <c r="AM11" s="9">
        <f t="shared" si="4"/>
        <v>1.9972685387906681</v>
      </c>
      <c r="AO11" s="11">
        <f t="shared" si="5"/>
        <v>0.66355140186915884</v>
      </c>
      <c r="AP11" s="11">
        <f t="shared" si="6"/>
        <v>0.80373831775700921</v>
      </c>
      <c r="AQ11" s="11">
        <f t="shared" si="7"/>
        <v>0.66355140186915884</v>
      </c>
      <c r="AR11" s="11">
        <f t="shared" si="8"/>
        <v>0.14953271028037385</v>
      </c>
      <c r="AS11" s="11">
        <f t="shared" si="9"/>
        <v>5.2917585551698454E-2</v>
      </c>
      <c r="AT11">
        <v>0</v>
      </c>
      <c r="AU11">
        <v>1</v>
      </c>
      <c r="AV11">
        <v>0</v>
      </c>
      <c r="AW11">
        <v>0</v>
      </c>
      <c r="AX11">
        <f t="shared" si="10"/>
        <v>5.6621816540317349</v>
      </c>
      <c r="AY11">
        <f t="shared" si="11"/>
        <v>0.48794758271882693</v>
      </c>
      <c r="AZ11" s="14"/>
    </row>
    <row r="12" spans="1:52">
      <c r="A12" s="26">
        <v>5</v>
      </c>
      <c r="B12">
        <v>0</v>
      </c>
      <c r="C12">
        <v>1</v>
      </c>
      <c r="D12">
        <v>0</v>
      </c>
      <c r="E12">
        <v>1</v>
      </c>
      <c r="F12" s="25">
        <v>43</v>
      </c>
      <c r="G12" s="3">
        <f>a_00*(1-e_1)*(e_2)*(1-e_1)*(e_2)</f>
        <v>2.2730428027396707E-26</v>
      </c>
      <c r="H12" s="3">
        <f>a_01*(1-e_1)*(1-f_2)*(1-e_1)*(1-f_2)</f>
        <v>0.34743747422745269</v>
      </c>
      <c r="I12" s="3">
        <f>a_10*(f_1)*(e_2)*(f_1)*(e_2)</f>
        <v>5.1308592067828706E-27</v>
      </c>
      <c r="J12" s="3">
        <f>a11_*(f_1)*(1-f_2)*(f_1)*(1-f_2)</f>
        <v>4.0617394690833974E-2</v>
      </c>
      <c r="K12" s="3">
        <f t="shared" si="0"/>
        <v>0.38805486891828667</v>
      </c>
      <c r="L12" s="3">
        <f t="shared" si="1"/>
        <v>41.521870974256672</v>
      </c>
      <c r="M12" s="3">
        <f t="shared" si="2"/>
        <v>1.5041320815839316</v>
      </c>
      <c r="N12" s="3">
        <f t="shared" si="3"/>
        <v>5.2619628294195253E-2</v>
      </c>
      <c r="P12" s="1"/>
      <c r="Q12" t="s">
        <v>2</v>
      </c>
      <c r="R12" t="s">
        <v>7</v>
      </c>
      <c r="S12" t="s">
        <v>6</v>
      </c>
      <c r="T12" s="2"/>
      <c r="U12" s="1"/>
      <c r="V12" t="s">
        <v>2</v>
      </c>
      <c r="W12" t="s">
        <v>7</v>
      </c>
      <c r="X12" t="s">
        <v>6</v>
      </c>
      <c r="AA12" t="s">
        <v>25</v>
      </c>
      <c r="AB12" t="s">
        <v>7</v>
      </c>
      <c r="AC12" t="s">
        <v>6</v>
      </c>
      <c r="AE12" s="1"/>
      <c r="AF12" s="6"/>
      <c r="AG12">
        <f>F11</f>
        <v>4</v>
      </c>
      <c r="AH12">
        <f>F12</f>
        <v>43</v>
      </c>
      <c r="AI12" s="24" t="s">
        <v>5</v>
      </c>
      <c r="AJ12" s="10">
        <f>L11</f>
        <v>5.9972685387906681</v>
      </c>
      <c r="AK12" s="20">
        <f>L12</f>
        <v>41.521870974256672</v>
      </c>
      <c r="AM12" s="9">
        <f t="shared" si="4"/>
        <v>1.4781290257433284</v>
      </c>
      <c r="AO12" s="11">
        <f t="shared" si="5"/>
        <v>0.66355140186915884</v>
      </c>
      <c r="AP12" s="11">
        <f t="shared" si="6"/>
        <v>0.80373831775700921</v>
      </c>
      <c r="AQ12" s="11">
        <f t="shared" si="7"/>
        <v>0.66355140186915884</v>
      </c>
      <c r="AR12" s="11">
        <f t="shared" si="8"/>
        <v>0.85046728971962615</v>
      </c>
      <c r="AS12" s="11">
        <f t="shared" si="9"/>
        <v>0.30096876782528492</v>
      </c>
      <c r="AT12">
        <v>0</v>
      </c>
      <c r="AU12">
        <v>1</v>
      </c>
      <c r="AV12">
        <v>0</v>
      </c>
      <c r="AW12">
        <v>1</v>
      </c>
      <c r="AX12">
        <f t="shared" si="10"/>
        <v>32.203658157305483</v>
      </c>
      <c r="AY12">
        <f t="shared" si="11"/>
        <v>3.6194955434860829</v>
      </c>
      <c r="AZ12" s="14"/>
    </row>
    <row r="13" spans="1:52">
      <c r="A13" s="26">
        <v>6</v>
      </c>
      <c r="B13">
        <v>0</v>
      </c>
      <c r="C13">
        <v>1</v>
      </c>
      <c r="D13">
        <v>1</v>
      </c>
      <c r="E13">
        <v>0</v>
      </c>
      <c r="F13" s="25">
        <v>2</v>
      </c>
      <c r="G13" s="3">
        <f>a_00*(1-e_1)*(e_2)*e_1*(1-e_2)</f>
        <v>2.2730475344871579E-25</v>
      </c>
      <c r="H13" s="3">
        <f>a_01*(1-e_1)*(1-f_2)*(e_1)*(f_2)</f>
        <v>5.0182648391194373E-13</v>
      </c>
      <c r="I13" s="3">
        <f>a_10*(f_1)*(e_2)*(1-f_1)*(1-e_2)</f>
        <v>1.0221489741143133E-14</v>
      </c>
      <c r="J13" s="3">
        <f>a11_*(f_1)*(1-f_2)*(1-f_1)*(f_2)</f>
        <v>1.1687245771393556E-2</v>
      </c>
      <c r="K13" s="3">
        <f t="shared" si="0"/>
        <v>1.1687245771905604E-2</v>
      </c>
      <c r="L13" s="3">
        <f t="shared" si="1"/>
        <v>1.2505352975938997</v>
      </c>
      <c r="M13" s="3">
        <f t="shared" si="2"/>
        <v>0.9391509656767415</v>
      </c>
      <c r="N13" s="3">
        <f t="shared" si="3"/>
        <v>0.4491655223434331</v>
      </c>
      <c r="P13" s="1"/>
      <c r="Q13" t="s">
        <v>5</v>
      </c>
      <c r="R13" s="2">
        <f>(F7+F11+F15+F19)/F23</f>
        <v>9.3457943925233641E-2</v>
      </c>
      <c r="S13" s="2">
        <f>(F8+F12+F16+F20)/F23</f>
        <v>0.57009345794392519</v>
      </c>
      <c r="T13" s="2">
        <f>SUM(R13:S13)</f>
        <v>0.66355140186915884</v>
      </c>
      <c r="U13" s="1"/>
      <c r="V13" t="s">
        <v>7</v>
      </c>
      <c r="W13" s="2">
        <f>(F7+F9+F15+F17)/F23</f>
        <v>8.4112149532710276E-2</v>
      </c>
      <c r="X13" s="2">
        <f>(F8+F10+F16+F18)/F23</f>
        <v>0.11214953271028037</v>
      </c>
      <c r="Y13" s="2">
        <f>W13+X13</f>
        <v>0.19626168224299065</v>
      </c>
      <c r="AA13" t="s">
        <v>7</v>
      </c>
      <c r="AB13" s="2">
        <f>(L7+L9+L15+L17)/L23</f>
        <v>8.3501766499828878E-2</v>
      </c>
      <c r="AC13" s="2">
        <f>(L8+L10+L16+L18)/L23</f>
        <v>0.10270655714233341</v>
      </c>
      <c r="AD13" s="2">
        <f>AB13+AC13</f>
        <v>0.18620832364216228</v>
      </c>
      <c r="AE13" s="1"/>
      <c r="AF13" s="6"/>
      <c r="AG13">
        <f>F13</f>
        <v>2</v>
      </c>
      <c r="AH13">
        <f>F14</f>
        <v>8</v>
      </c>
      <c r="AI13" s="24" t="s">
        <v>4</v>
      </c>
      <c r="AJ13" s="10">
        <f>L13</f>
        <v>1.2505352975938997</v>
      </c>
      <c r="AK13" s="10">
        <f>L14</f>
        <v>8.6580357273610407</v>
      </c>
      <c r="AM13" s="9">
        <f t="shared" si="4"/>
        <v>0.7494647024061003</v>
      </c>
      <c r="AO13" s="11">
        <f t="shared" si="5"/>
        <v>0.66355140186915884</v>
      </c>
      <c r="AP13" s="11">
        <f t="shared" si="6"/>
        <v>0.80373831775700921</v>
      </c>
      <c r="AQ13" s="11">
        <f t="shared" si="7"/>
        <v>0.3364485981308411</v>
      </c>
      <c r="AR13" s="11">
        <f t="shared" si="8"/>
        <v>0.14953271028037385</v>
      </c>
      <c r="AS13" s="11">
        <f t="shared" si="9"/>
        <v>2.6831451829030201E-2</v>
      </c>
      <c r="AT13">
        <v>0</v>
      </c>
      <c r="AU13">
        <v>1</v>
      </c>
      <c r="AV13">
        <v>1</v>
      </c>
      <c r="AW13">
        <v>0</v>
      </c>
      <c r="AX13">
        <f t="shared" si="10"/>
        <v>2.8709653457062316</v>
      </c>
      <c r="AY13">
        <f t="shared" si="11"/>
        <v>0.2642249355450062</v>
      </c>
      <c r="AZ13" s="14"/>
    </row>
    <row r="14" spans="1:52">
      <c r="A14" s="26">
        <v>7</v>
      </c>
      <c r="B14">
        <v>0</v>
      </c>
      <c r="C14">
        <v>1</v>
      </c>
      <c r="D14">
        <v>1</v>
      </c>
      <c r="E14">
        <v>1</v>
      </c>
      <c r="F14" s="25">
        <v>8</v>
      </c>
      <c r="G14" s="3">
        <f>a_00*(1-e_1)*(e_2)*e_1*(e_2)</f>
        <v>2.2730445680750911E-37</v>
      </c>
      <c r="H14" s="3">
        <f>a_01*(1-e_1)*(1-f_2)*(e_1)*(1-f_2)</f>
        <v>3.4743774406120975E-12</v>
      </c>
      <c r="I14" s="3">
        <f>a_10*(f_1)*(e_2)*(1-f_1)*(e_2)</f>
        <v>1.0221476401716636E-26</v>
      </c>
      <c r="J14" s="3">
        <f>a11_*(f_1)*(1-f_2)*(1-f_1)*(1-f_2)</f>
        <v>8.0916221747563397E-2</v>
      </c>
      <c r="K14" s="3">
        <f t="shared" si="0"/>
        <v>8.091622175103777E-2</v>
      </c>
      <c r="L14" s="3">
        <f t="shared" si="1"/>
        <v>8.6580357273610407</v>
      </c>
      <c r="M14" s="3">
        <f t="shared" si="2"/>
        <v>-0.63237067076612441</v>
      </c>
      <c r="N14" s="3">
        <f t="shared" si="3"/>
        <v>5.0012616269897871E-2</v>
      </c>
      <c r="P14" s="1"/>
      <c r="Q14" t="s">
        <v>4</v>
      </c>
      <c r="R14" s="2">
        <f>(F9+F13+F17+F21)/F23</f>
        <v>5.6074766355140186E-2</v>
      </c>
      <c r="S14" s="2">
        <f>(F10+F14+F18+F22)/F23</f>
        <v>0.28037383177570091</v>
      </c>
      <c r="T14" s="2">
        <f>SUM(R14:S14)</f>
        <v>0.3364485981308411</v>
      </c>
      <c r="U14" s="1"/>
      <c r="V14" t="s">
        <v>6</v>
      </c>
      <c r="W14" s="2">
        <f>(F11+F13+F19+F21)/F23</f>
        <v>6.5420560747663545E-2</v>
      </c>
      <c r="X14" s="2">
        <f>(F12+F14+F20+F22)/F23</f>
        <v>0.73831775700934577</v>
      </c>
      <c r="Y14" s="2">
        <f>W14+X14</f>
        <v>0.80373831775700932</v>
      </c>
      <c r="AA14" t="s">
        <v>6</v>
      </c>
      <c r="AB14" s="2">
        <f>(L11+L13+L19+L21)/L23</f>
        <v>0.1027065571423334</v>
      </c>
      <c r="AC14" s="2">
        <f>(L12+L14+L20+L22)/L23</f>
        <v>0.71108511921550432</v>
      </c>
      <c r="AD14" s="2">
        <f>AB14+AC14</f>
        <v>0.81379167635783767</v>
      </c>
      <c r="AE14" s="1"/>
      <c r="AF14" s="6" t="s">
        <v>14</v>
      </c>
      <c r="AG14" t="s">
        <v>7</v>
      </c>
      <c r="AH14" t="s">
        <v>6</v>
      </c>
      <c r="AI14" s="24"/>
      <c r="AJ14" t="s">
        <v>7</v>
      </c>
      <c r="AK14" t="s">
        <v>6</v>
      </c>
      <c r="AM14" s="9">
        <f t="shared" si="4"/>
        <v>0.65803572736104066</v>
      </c>
      <c r="AO14" s="11">
        <f t="shared" si="5"/>
        <v>0.66355140186915884</v>
      </c>
      <c r="AP14" s="11">
        <f t="shared" si="6"/>
        <v>0.80373831775700921</v>
      </c>
      <c r="AQ14" s="11">
        <f t="shared" si="7"/>
        <v>0.3364485981308411</v>
      </c>
      <c r="AR14" s="11">
        <f t="shared" si="8"/>
        <v>0.85046728971962615</v>
      </c>
      <c r="AS14" s="11">
        <f t="shared" si="9"/>
        <v>0.15260388227760924</v>
      </c>
      <c r="AT14">
        <v>0</v>
      </c>
      <c r="AU14">
        <v>1</v>
      </c>
      <c r="AV14">
        <v>1</v>
      </c>
      <c r="AW14">
        <v>1</v>
      </c>
      <c r="AX14">
        <f t="shared" si="10"/>
        <v>16.328615403704188</v>
      </c>
      <c r="AY14">
        <f t="shared" si="11"/>
        <v>4.2481149091846975</v>
      </c>
      <c r="AZ14" s="14"/>
    </row>
    <row r="15" spans="1:52">
      <c r="A15" s="26">
        <v>8</v>
      </c>
      <c r="B15">
        <v>1</v>
      </c>
      <c r="C15">
        <v>0</v>
      </c>
      <c r="D15">
        <v>0</v>
      </c>
      <c r="E15">
        <v>0</v>
      </c>
      <c r="F15" s="25">
        <v>1</v>
      </c>
      <c r="G15" s="3">
        <f>a_00*(e_1)*(1-e_2)*(1-e_1)*(1-e_2)</f>
        <v>2.2730505009030959E-13</v>
      </c>
      <c r="H15" s="3">
        <f>a_01*(e_1)*(f_2)*(1-e_1)*(f_2)</f>
        <v>7.2481998360851172E-14</v>
      </c>
      <c r="I15" s="3">
        <f>a_10*(1-f_1)*(1-e_2)*(f_1)*(1-e_2)</f>
        <v>1.0221503080587037E-2</v>
      </c>
      <c r="J15" s="3">
        <f>a11_*(1-f_1)*(f_2)*(f_1)*(f_2)</f>
        <v>1.6880634163454335E-3</v>
      </c>
      <c r="K15" s="3">
        <f t="shared" si="0"/>
        <v>1.1909566497232257E-2</v>
      </c>
      <c r="L15" s="3">
        <f t="shared" si="1"/>
        <v>1.2743236152038515</v>
      </c>
      <c r="M15" s="3">
        <f t="shared" si="2"/>
        <v>-0.24241553996727189</v>
      </c>
      <c r="N15" s="3">
        <f t="shared" si="3"/>
        <v>5.9053638307152156E-2</v>
      </c>
      <c r="P15" s="1"/>
      <c r="R15" s="2">
        <f>SUM(R13:R14)</f>
        <v>0.14953271028037382</v>
      </c>
      <c r="S15" s="2">
        <f>SUM(S13:S14)</f>
        <v>0.85046728971962615</v>
      </c>
      <c r="T15" s="2">
        <f>SUM(R15:S15)</f>
        <v>1</v>
      </c>
      <c r="U15" s="1"/>
      <c r="W15" s="2">
        <f>W13+W14</f>
        <v>0.14953271028037382</v>
      </c>
      <c r="X15" s="2">
        <f>X13+X14</f>
        <v>0.85046728971962615</v>
      </c>
      <c r="Y15">
        <f>W15+X15</f>
        <v>1</v>
      </c>
      <c r="AB15" s="2">
        <f>AB13+AB14</f>
        <v>0.18620832364216228</v>
      </c>
      <c r="AC15" s="2">
        <f>AC13+AC14</f>
        <v>0.81379167635783778</v>
      </c>
      <c r="AD15">
        <f>AD13+AD14</f>
        <v>1</v>
      </c>
      <c r="AE15" s="1"/>
      <c r="AF15" s="6"/>
      <c r="AG15">
        <f>F15</f>
        <v>1</v>
      </c>
      <c r="AH15">
        <f>F16</f>
        <v>0</v>
      </c>
      <c r="AI15" s="24" t="s">
        <v>5</v>
      </c>
      <c r="AJ15" s="10">
        <f>L15</f>
        <v>1.2743236152038515</v>
      </c>
      <c r="AK15" s="10">
        <f>L16</f>
        <v>1.2505352975938997</v>
      </c>
      <c r="AM15" s="9">
        <f t="shared" si="4"/>
        <v>0.27432361520385151</v>
      </c>
      <c r="AO15" s="11">
        <f t="shared" si="5"/>
        <v>0.3364485981308411</v>
      </c>
      <c r="AP15" s="11">
        <f t="shared" si="6"/>
        <v>0.19626168224299079</v>
      </c>
      <c r="AQ15" s="11">
        <f t="shared" si="7"/>
        <v>0.66355140186915884</v>
      </c>
      <c r="AR15" s="11">
        <f t="shared" si="8"/>
        <v>0.14953271028037385</v>
      </c>
      <c r="AS15" s="11">
        <f t="shared" si="9"/>
        <v>6.5518661442980786E-3</v>
      </c>
      <c r="AT15">
        <v>1</v>
      </c>
      <c r="AU15">
        <v>0</v>
      </c>
      <c r="AV15">
        <v>0</v>
      </c>
      <c r="AW15">
        <v>0</v>
      </c>
      <c r="AX15">
        <f t="shared" si="10"/>
        <v>0.70104967743989444</v>
      </c>
      <c r="AY15">
        <f t="shared" si="11"/>
        <v>0.12748211465578138</v>
      </c>
      <c r="AZ15" s="14"/>
    </row>
    <row r="16" spans="1:52">
      <c r="A16" s="26">
        <v>9</v>
      </c>
      <c r="B16">
        <v>1</v>
      </c>
      <c r="C16">
        <v>0</v>
      </c>
      <c r="D16">
        <v>0</v>
      </c>
      <c r="E16">
        <v>1</v>
      </c>
      <c r="F16" s="25">
        <v>0</v>
      </c>
      <c r="G16" s="3">
        <f>a_00*(e_1)*(1-e_2)*(1-e_1)*(e_2)</f>
        <v>2.2730475344871579E-25</v>
      </c>
      <c r="H16" s="3">
        <f>a_01*(e_1)*(f_2)*(1-e_1)*(1-f_2)</f>
        <v>5.0182648391194373E-13</v>
      </c>
      <c r="I16" s="3">
        <f>a_10*(1-f_1)*(1-e_2)*(f_1)*(e_2)</f>
        <v>1.0221489741143132E-14</v>
      </c>
      <c r="J16" s="3">
        <f>a11_*(1-f_1)*(f_2)*(f_1)*(1-f_2)</f>
        <v>1.1687245771393556E-2</v>
      </c>
      <c r="K16" s="3">
        <f t="shared" si="0"/>
        <v>1.1687245771905604E-2</v>
      </c>
      <c r="L16" s="3">
        <f t="shared" si="1"/>
        <v>1.2505352975938997</v>
      </c>
      <c r="M16" s="3">
        <f t="shared" si="2"/>
        <v>0</v>
      </c>
      <c r="N16" s="3">
        <f t="shared" si="3"/>
        <v>1.2505352975938997</v>
      </c>
      <c r="P16" s="1"/>
      <c r="R16" s="2"/>
      <c r="S16" s="2"/>
      <c r="T16" s="2"/>
      <c r="U16" s="1"/>
      <c r="Z16" s="4">
        <f>(POWER(W13-AB13,2)/AB13+POWER(X13-AC13,2)/AC13+POWER(W14-AB14,2)/AB14+POWER(X14-AC14,2)/AC14)*F23</f>
        <v>1.6533309299700902</v>
      </c>
      <c r="AE16" s="1"/>
      <c r="AF16" s="6"/>
      <c r="AG16">
        <f>F17</f>
        <v>2</v>
      </c>
      <c r="AH16">
        <f>F18</f>
        <v>4</v>
      </c>
      <c r="AI16" s="24" t="s">
        <v>4</v>
      </c>
      <c r="AJ16" s="20">
        <f>L17</f>
        <v>2.5386525405743292</v>
      </c>
      <c r="AK16" s="10">
        <f>L18</f>
        <v>2.4912624802534</v>
      </c>
      <c r="AM16" s="9">
        <f t="shared" si="4"/>
        <v>1.2505352975938997</v>
      </c>
      <c r="AO16" s="11">
        <f t="shared" si="5"/>
        <v>0.3364485981308411</v>
      </c>
      <c r="AP16" s="11">
        <f t="shared" si="6"/>
        <v>0.19626168224299079</v>
      </c>
      <c r="AQ16" s="11">
        <f t="shared" si="7"/>
        <v>0.66355140186915884</v>
      </c>
      <c r="AR16" s="11">
        <f t="shared" si="8"/>
        <v>0.85046728971962615</v>
      </c>
      <c r="AS16" s="11">
        <f t="shared" si="9"/>
        <v>3.7263738695695318E-2</v>
      </c>
      <c r="AT16">
        <v>1</v>
      </c>
      <c r="AU16">
        <v>0</v>
      </c>
      <c r="AV16">
        <v>0</v>
      </c>
      <c r="AW16">
        <v>1</v>
      </c>
      <c r="AX16">
        <f t="shared" si="10"/>
        <v>3.9872200404393991</v>
      </c>
      <c r="AY16">
        <f t="shared" si="11"/>
        <v>3.9872200404393991</v>
      </c>
      <c r="AZ16" s="14"/>
    </row>
    <row r="17" spans="1:52">
      <c r="A17" s="26">
        <v>10</v>
      </c>
      <c r="B17">
        <v>1</v>
      </c>
      <c r="C17">
        <v>0</v>
      </c>
      <c r="D17">
        <v>1</v>
      </c>
      <c r="E17">
        <v>0</v>
      </c>
      <c r="F17" s="25">
        <v>2</v>
      </c>
      <c r="G17" s="3">
        <f>a_00*(e_1)*(1-e_2)*e_1*(1-e_2)</f>
        <v>2.2730522662444944E-24</v>
      </c>
      <c r="H17" s="3">
        <f>a_01*(e_1)*(f_2)*(e_1)*(f_2)</f>
        <v>7.2482054653253094E-25</v>
      </c>
      <c r="I17" s="3">
        <f>a_10*(1-f_1)*(1-e_2)*(1-f_1)*(1-e_2)</f>
        <v>2.0362837551686431E-2</v>
      </c>
      <c r="J17" s="3">
        <f>a11_*(1-f_1)*(f_2)*(1-f_1)*(f_2)</f>
        <v>3.3628871265783291E-3</v>
      </c>
      <c r="K17" s="3">
        <f t="shared" si="0"/>
        <v>2.372572467826476E-2</v>
      </c>
      <c r="L17" s="3">
        <f t="shared" si="1"/>
        <v>2.5386525405743292</v>
      </c>
      <c r="M17" s="3">
        <f t="shared" si="2"/>
        <v>-0.47697252774184051</v>
      </c>
      <c r="N17" s="3">
        <f t="shared" si="3"/>
        <v>0.11429156012092084</v>
      </c>
      <c r="P17" s="1"/>
      <c r="Q17" t="s">
        <v>8</v>
      </c>
      <c r="R17" t="s">
        <v>7</v>
      </c>
      <c r="S17" t="s">
        <v>6</v>
      </c>
      <c r="T17" s="2"/>
      <c r="U17" s="1"/>
      <c r="V17" t="s">
        <v>2</v>
      </c>
      <c r="W17" t="s">
        <v>7</v>
      </c>
      <c r="X17" t="s">
        <v>6</v>
      </c>
      <c r="AA17" t="s">
        <v>25</v>
      </c>
      <c r="AB17" t="s">
        <v>7</v>
      </c>
      <c r="AC17" t="s">
        <v>6</v>
      </c>
      <c r="AE17" s="1"/>
      <c r="AF17" s="6" t="s">
        <v>13</v>
      </c>
      <c r="AG17" t="s">
        <v>7</v>
      </c>
      <c r="AH17" t="s">
        <v>6</v>
      </c>
      <c r="AI17" s="24"/>
      <c r="AJ17" t="s">
        <v>7</v>
      </c>
      <c r="AK17" t="s">
        <v>6</v>
      </c>
      <c r="AM17" s="9">
        <f t="shared" si="4"/>
        <v>0.53865254057432921</v>
      </c>
      <c r="AO17" s="11">
        <f t="shared" si="5"/>
        <v>0.3364485981308411</v>
      </c>
      <c r="AP17" s="11">
        <f t="shared" si="6"/>
        <v>0.19626168224299079</v>
      </c>
      <c r="AQ17" s="11">
        <f t="shared" si="7"/>
        <v>0.3364485981308411</v>
      </c>
      <c r="AR17" s="11">
        <f t="shared" si="8"/>
        <v>0.14953271028037385</v>
      </c>
      <c r="AS17" s="11">
        <f t="shared" si="9"/>
        <v>3.3220729745736741E-3</v>
      </c>
      <c r="AT17">
        <v>1</v>
      </c>
      <c r="AU17">
        <v>0</v>
      </c>
      <c r="AV17">
        <v>1</v>
      </c>
      <c r="AW17">
        <v>0</v>
      </c>
      <c r="AX17">
        <f t="shared" si="10"/>
        <v>0.35546180827938312</v>
      </c>
      <c r="AY17">
        <f t="shared" si="11"/>
        <v>7.6084288129824911</v>
      </c>
      <c r="AZ17" s="14"/>
    </row>
    <row r="18" spans="1:52">
      <c r="A18" s="26">
        <v>11</v>
      </c>
      <c r="B18">
        <v>1</v>
      </c>
      <c r="C18">
        <v>0</v>
      </c>
      <c r="D18">
        <v>1</v>
      </c>
      <c r="E18">
        <v>1</v>
      </c>
      <c r="F18" s="25">
        <v>4</v>
      </c>
      <c r="G18" s="3">
        <f>a_00*(e_1)*(1-e_2)*e_1*(e_2)</f>
        <v>2.2730492998262526E-36</v>
      </c>
      <c r="H18" s="3">
        <f>a_01*(e_1)*(f_2)*(e_1)*(1-f_2)</f>
        <v>5.0182687365034456E-24</v>
      </c>
      <c r="I18" s="3">
        <f>a_10*(1-f_1)*(1-e_2)*(1-f_1)*(e_2)</f>
        <v>2.0362810977421655E-14</v>
      </c>
      <c r="J18" s="3">
        <f>a11_*(1-f_1)*(f_2)*(1-f_1)*(1-f_2)</f>
        <v>2.3282826918235713E-2</v>
      </c>
      <c r="K18" s="3">
        <f t="shared" si="0"/>
        <v>2.3282826918256075E-2</v>
      </c>
      <c r="L18" s="3">
        <f t="shared" si="1"/>
        <v>2.4912624802534</v>
      </c>
      <c r="M18" s="3">
        <f t="shared" si="2"/>
        <v>1.8940190358099545</v>
      </c>
      <c r="N18" s="3">
        <f t="shared" si="3"/>
        <v>0.91370898150386315</v>
      </c>
      <c r="P18" s="1"/>
      <c r="Q18" t="s">
        <v>5</v>
      </c>
      <c r="R18" s="2">
        <f>(L7+L8+L9+L10)/L23</f>
        <v>0.11560295977651767</v>
      </c>
      <c r="S18" s="2">
        <f>(L11+L12+L13+L14)/L23</f>
        <v>0.53670757512140954</v>
      </c>
      <c r="T18" s="2">
        <f>SUM(R18:S18)</f>
        <v>0.65231053489792723</v>
      </c>
      <c r="U18" s="1"/>
      <c r="V18" t="s">
        <v>5</v>
      </c>
      <c r="W18" s="2">
        <f>(F7+F8+F9+F10+F7+F11+F15+F19)/(2*F23)</f>
        <v>0.11214953271028037</v>
      </c>
      <c r="X18" s="2">
        <f>(F11+F12+F13+F14+F8+F12+F16+F20)/(2*F23)</f>
        <v>0.55140186915887845</v>
      </c>
      <c r="Y18" s="2">
        <f>W18+X18</f>
        <v>0.66355140186915884</v>
      </c>
      <c r="AA18" t="s">
        <v>5</v>
      </c>
      <c r="AB18" s="2">
        <f>(L7+L8+L9+L10+L7+L11+L15+L19)/(2*L23)</f>
        <v>0.11560295977651767</v>
      </c>
      <c r="AC18" s="2">
        <f>(L11+L12+L13+L14+L8+L12+L16+L20)/(2*L23)</f>
        <v>0.53670757512140954</v>
      </c>
      <c r="AD18">
        <f>AB18+AC18</f>
        <v>0.65231053489792723</v>
      </c>
      <c r="AE18" s="1"/>
      <c r="AG18">
        <f>F19</f>
        <v>1</v>
      </c>
      <c r="AH18">
        <f>F20</f>
        <v>10</v>
      </c>
      <c r="AI18" s="24" t="s">
        <v>5</v>
      </c>
      <c r="AJ18" s="10">
        <f>L19</f>
        <v>1.2505352975938995</v>
      </c>
      <c r="AK18" s="10">
        <f>L20</f>
        <v>8.6580357273610407</v>
      </c>
      <c r="AM18" s="9">
        <f t="shared" si="4"/>
        <v>1.5087375197466</v>
      </c>
      <c r="AO18" s="11">
        <f t="shared" si="5"/>
        <v>0.3364485981308411</v>
      </c>
      <c r="AP18" s="11">
        <f t="shared" si="6"/>
        <v>0.19626168224299079</v>
      </c>
      <c r="AQ18" s="11">
        <f t="shared" si="7"/>
        <v>0.3364485981308411</v>
      </c>
      <c r="AR18" s="11">
        <f t="shared" si="8"/>
        <v>0.85046728971962615</v>
      </c>
      <c r="AS18" s="11">
        <f t="shared" si="9"/>
        <v>1.8894290042887767E-2</v>
      </c>
      <c r="AT18">
        <v>1</v>
      </c>
      <c r="AU18">
        <v>0</v>
      </c>
      <c r="AV18">
        <v>1</v>
      </c>
      <c r="AW18">
        <v>1</v>
      </c>
      <c r="AX18">
        <f t="shared" si="10"/>
        <v>2.0216890345889911</v>
      </c>
      <c r="AY18">
        <f t="shared" si="11"/>
        <v>1.935863631303266</v>
      </c>
      <c r="AZ18" s="14"/>
    </row>
    <row r="19" spans="1:52">
      <c r="A19" s="26">
        <v>12</v>
      </c>
      <c r="B19">
        <v>1</v>
      </c>
      <c r="C19">
        <v>1</v>
      </c>
      <c r="D19">
        <v>0</v>
      </c>
      <c r="E19">
        <v>0</v>
      </c>
      <c r="F19" s="25">
        <v>1</v>
      </c>
      <c r="G19" s="3">
        <f>a_00*(e_1)*(e_2)*(1-e_1)*(1-e_2)</f>
        <v>2.2730475344871575E-25</v>
      </c>
      <c r="H19" s="3">
        <f>a_01*(e_1)*(1-f_2)*(1-e_1)*(f_2)</f>
        <v>5.0182648391194383E-13</v>
      </c>
      <c r="I19" s="3">
        <f>a_10*(1-f_1)*(e_2)*(f_1)*(1-e_2)</f>
        <v>1.0221489741143132E-14</v>
      </c>
      <c r="J19" s="3">
        <f>a11_*(1-f_1)*(1-f_2)*(f_1)*(f_2)</f>
        <v>1.1687245771393554E-2</v>
      </c>
      <c r="K19" s="3">
        <f t="shared" si="0"/>
        <v>1.1687245771905603E-2</v>
      </c>
      <c r="L19" s="3">
        <f t="shared" si="1"/>
        <v>1.2505352975938995</v>
      </c>
      <c r="M19" s="3">
        <f t="shared" si="2"/>
        <v>-0.2235716977215744</v>
      </c>
      <c r="N19" s="3">
        <f t="shared" si="3"/>
        <v>5.0192853781282971E-2</v>
      </c>
      <c r="P19" s="1"/>
      <c r="Q19" t="s">
        <v>4</v>
      </c>
      <c r="R19" s="2">
        <f>(L15+L16+L17+L18)/L23</f>
        <v>7.0605363865644602E-2</v>
      </c>
      <c r="S19" s="2">
        <f>(L22+L21+L20+L19)/L23</f>
        <v>0.27708410123642824</v>
      </c>
      <c r="T19" s="2">
        <f>SUM(R19:S19)</f>
        <v>0.34768946510207283</v>
      </c>
      <c r="U19" s="1"/>
      <c r="V19" t="s">
        <v>4</v>
      </c>
      <c r="W19" s="2">
        <f>(F15+F16+F17+F18+F9+F13+F17+F21)/(2*F23)</f>
        <v>6.0747663551401869E-2</v>
      </c>
      <c r="X19" s="2">
        <f>(F19+F20+F21+F22+F10+F14+F18+F22)/(2*F23)</f>
        <v>0.27570093457943923</v>
      </c>
      <c r="Y19" s="2">
        <f>W19+X19</f>
        <v>0.3364485981308411</v>
      </c>
      <c r="AA19" t="s">
        <v>4</v>
      </c>
      <c r="AB19" s="2">
        <f>(L15+L16+L17+L18+L9+L13+L17+L21)/(2*L23)</f>
        <v>7.0605363865644602E-2</v>
      </c>
      <c r="AC19" s="2">
        <f>(L19+L20+L21+L22+L10+L14+L18+L22)/(2*L23)</f>
        <v>0.27708410123642818</v>
      </c>
      <c r="AD19">
        <f>AB19+AC19</f>
        <v>0.34768946510207277</v>
      </c>
      <c r="AE19" s="1"/>
      <c r="AG19">
        <f>F21</f>
        <v>0</v>
      </c>
      <c r="AH19">
        <f>F22</f>
        <v>18</v>
      </c>
      <c r="AI19" s="24" t="s">
        <v>4</v>
      </c>
      <c r="AJ19" s="10">
        <f>L21</f>
        <v>2.4912624802533996</v>
      </c>
      <c r="AK19" s="20">
        <f>L22</f>
        <v>17.248165327095393</v>
      </c>
      <c r="AM19" s="9">
        <f t="shared" si="4"/>
        <v>0.25053529759389948</v>
      </c>
      <c r="AO19" s="11">
        <f t="shared" si="5"/>
        <v>0.3364485981308411</v>
      </c>
      <c r="AP19" s="11">
        <f t="shared" si="6"/>
        <v>0.80373831775700921</v>
      </c>
      <c r="AQ19" s="11">
        <f t="shared" si="7"/>
        <v>0.66355140186915884</v>
      </c>
      <c r="AR19" s="11">
        <f t="shared" si="8"/>
        <v>0.14953271028037385</v>
      </c>
      <c r="AS19" s="11">
        <f t="shared" si="9"/>
        <v>2.6831451829030205E-2</v>
      </c>
      <c r="AT19">
        <v>1</v>
      </c>
      <c r="AU19">
        <v>1</v>
      </c>
      <c r="AV19">
        <v>0</v>
      </c>
      <c r="AW19">
        <v>0</v>
      </c>
      <c r="AX19">
        <f t="shared" si="10"/>
        <v>2.8709653457062321</v>
      </c>
      <c r="AY19">
        <f t="shared" si="11"/>
        <v>1.2192802431659255</v>
      </c>
      <c r="AZ19" s="14"/>
    </row>
    <row r="20" spans="1:52">
      <c r="A20" s="26">
        <v>13</v>
      </c>
      <c r="B20">
        <v>1</v>
      </c>
      <c r="C20">
        <v>1</v>
      </c>
      <c r="D20">
        <v>0</v>
      </c>
      <c r="E20">
        <v>1</v>
      </c>
      <c r="F20" s="25">
        <v>10</v>
      </c>
      <c r="G20" s="3">
        <f>a_00*(e_1)*(e_2)*(1-e_1)*(e_2)</f>
        <v>2.2730445680750907E-37</v>
      </c>
      <c r="H20" s="3">
        <f>a_01*(e_1)*(1-f_2)*(1-e_1)*(1-f_2)</f>
        <v>3.4743774406120983E-12</v>
      </c>
      <c r="I20" s="3">
        <f>a_10*(1-f_1)*(e_2)*(f_1)*(e_2)</f>
        <v>1.0221476401716635E-26</v>
      </c>
      <c r="J20" s="3">
        <f>a11_*(1-f_1)*(1-f_2)*(f_1)*(1-f_2)</f>
        <v>8.0916221747563397E-2</v>
      </c>
      <c r="K20" s="3">
        <f t="shared" si="0"/>
        <v>8.091622175103777E-2</v>
      </c>
      <c r="L20" s="3">
        <f t="shared" si="1"/>
        <v>8.6580357273610407</v>
      </c>
      <c r="M20" s="3">
        <f t="shared" si="2"/>
        <v>1.4409721746844419</v>
      </c>
      <c r="N20" s="3">
        <f t="shared" si="3"/>
        <v>0.20799961628113006</v>
      </c>
      <c r="P20" s="1"/>
      <c r="R20" s="2">
        <f>SUM(R18:R19)</f>
        <v>0.18620832364216228</v>
      </c>
      <c r="S20" s="2">
        <f>SUM(S18:S19)</f>
        <v>0.81379167635783778</v>
      </c>
      <c r="T20" s="2">
        <f>SUM(R20:S20)</f>
        <v>1</v>
      </c>
      <c r="U20" s="1"/>
      <c r="W20" s="2">
        <f>W18+W19</f>
        <v>0.17289719626168223</v>
      </c>
      <c r="X20" s="2">
        <f>X18+X19</f>
        <v>0.82710280373831768</v>
      </c>
      <c r="Y20">
        <f>Y18+Y19</f>
        <v>1</v>
      </c>
      <c r="AB20" s="2">
        <f>AB18+AB19</f>
        <v>0.18620832364216228</v>
      </c>
      <c r="AC20" s="2">
        <f>AC18+AC19</f>
        <v>0.81379167635783767</v>
      </c>
      <c r="AD20">
        <f>AB20+AC20</f>
        <v>1</v>
      </c>
      <c r="AE20" s="1"/>
      <c r="AM20" s="9">
        <f t="shared" si="4"/>
        <v>1.3419642726389593</v>
      </c>
      <c r="AO20" s="11">
        <f t="shared" si="5"/>
        <v>0.3364485981308411</v>
      </c>
      <c r="AP20" s="11">
        <f t="shared" si="6"/>
        <v>0.80373831775700921</v>
      </c>
      <c r="AQ20" s="11">
        <f t="shared" si="7"/>
        <v>0.66355140186915884</v>
      </c>
      <c r="AR20" s="11">
        <f t="shared" si="8"/>
        <v>0.85046728971962615</v>
      </c>
      <c r="AS20" s="11">
        <f t="shared" si="9"/>
        <v>0.15260388227760927</v>
      </c>
      <c r="AT20">
        <v>1</v>
      </c>
      <c r="AU20">
        <v>1</v>
      </c>
      <c r="AV20">
        <v>0</v>
      </c>
      <c r="AW20">
        <v>1</v>
      </c>
      <c r="AX20">
        <f t="shared" si="10"/>
        <v>16.328615403704191</v>
      </c>
      <c r="AY20">
        <f t="shared" si="11"/>
        <v>2.4528333810174865</v>
      </c>
      <c r="AZ20" s="14"/>
    </row>
    <row r="21" spans="1:52">
      <c r="A21" s="26">
        <v>14</v>
      </c>
      <c r="B21">
        <v>1</v>
      </c>
      <c r="C21">
        <v>1</v>
      </c>
      <c r="D21">
        <v>1</v>
      </c>
      <c r="E21">
        <v>0</v>
      </c>
      <c r="F21" s="25">
        <v>0</v>
      </c>
      <c r="G21" s="3">
        <f>a_00*(e_1)*(e_2)*(e_1)*(1-e_2)</f>
        <v>2.2730492998262526E-36</v>
      </c>
      <c r="H21" s="3">
        <f>a_01*(e_1)*(1-f_2)*(e_1)*(f_2)</f>
        <v>5.0182687365034464E-24</v>
      </c>
      <c r="I21" s="3">
        <f>a_10*(1-f_1)*(e_2)*(1-f_1)*(1-e_2)</f>
        <v>2.0362810977421655E-14</v>
      </c>
      <c r="J21" s="3">
        <f>a11_*(1-f_1)*(1-f_2)*(1-f_1)*(f_2)</f>
        <v>2.3282826918235709E-2</v>
      </c>
      <c r="K21" s="3">
        <f t="shared" si="0"/>
        <v>2.3282826918256071E-2</v>
      </c>
      <c r="L21" s="3">
        <f t="shared" si="1"/>
        <v>2.4912624802533996</v>
      </c>
      <c r="M21" s="3">
        <f t="shared" si="2"/>
        <v>0</v>
      </c>
      <c r="N21" s="3">
        <f t="shared" si="3"/>
        <v>2.4912624802533996</v>
      </c>
      <c r="P21" s="1"/>
      <c r="U21" s="1"/>
      <c r="Z21" s="4">
        <f>(POWER(W18-AB18,2)/AB18+POWER(X18-AC18,2)/AC18+POWER(W19-AB19,2)/AB19+POWER(X19-AC19,2)/AC19)*F23</f>
        <v>0.20208872814923365</v>
      </c>
      <c r="AE21" s="1"/>
      <c r="AM21" s="9">
        <f t="shared" si="4"/>
        <v>2.4912624802533996</v>
      </c>
      <c r="AO21" s="11">
        <f t="shared" si="5"/>
        <v>0.3364485981308411</v>
      </c>
      <c r="AP21" s="11">
        <f t="shared" si="6"/>
        <v>0.80373831775700921</v>
      </c>
      <c r="AQ21" s="11">
        <f t="shared" si="7"/>
        <v>0.3364485981308411</v>
      </c>
      <c r="AR21" s="11">
        <f t="shared" si="8"/>
        <v>0.14953271028037385</v>
      </c>
      <c r="AS21" s="11">
        <f t="shared" si="9"/>
        <v>1.3604679800635034E-2</v>
      </c>
      <c r="AT21">
        <v>1</v>
      </c>
      <c r="AU21">
        <v>1</v>
      </c>
      <c r="AV21">
        <v>1</v>
      </c>
      <c r="AW21">
        <v>0</v>
      </c>
      <c r="AX21">
        <f t="shared" si="10"/>
        <v>1.4557007386679486</v>
      </c>
      <c r="AY21">
        <f t="shared" si="11"/>
        <v>1.4557007386679486</v>
      </c>
      <c r="AZ21" s="14"/>
    </row>
    <row r="22" spans="1:52">
      <c r="A22" s="26">
        <v>15</v>
      </c>
      <c r="B22">
        <v>1</v>
      </c>
      <c r="C22">
        <v>1</v>
      </c>
      <c r="D22">
        <v>1</v>
      </c>
      <c r="E22">
        <v>1</v>
      </c>
      <c r="F22" s="25">
        <v>18</v>
      </c>
      <c r="G22" s="3">
        <f>a_00*(e_1)*(e_2)*e_1*(e_2)</f>
        <v>2.2730463334118818E-48</v>
      </c>
      <c r="H22" s="3">
        <f>a_01*(e_1)*(1-f_2)*(e_1)*(1-f_2)</f>
        <v>3.4743801389517648E-23</v>
      </c>
      <c r="I22" s="3">
        <f>a_10*(1-f_1)*(e_2)*(1-f_1)*(e_2)</f>
        <v>2.0362784403191562E-26</v>
      </c>
      <c r="J22" s="3">
        <f>a11_*(1-f_1)*(1-f_2)*(1-f_1)*(1-f_2)</f>
        <v>0.16119780679528406</v>
      </c>
      <c r="K22" s="3">
        <f t="shared" si="0"/>
        <v>0.16119780679528406</v>
      </c>
      <c r="L22" s="3">
        <f t="shared" si="1"/>
        <v>17.248165327095393</v>
      </c>
      <c r="M22" s="3">
        <f t="shared" si="2"/>
        <v>0.76798760264523935</v>
      </c>
      <c r="N22" s="3">
        <f t="shared" si="3"/>
        <v>3.2771913108555956E-2</v>
      </c>
      <c r="P22" s="1"/>
      <c r="U22" s="1"/>
      <c r="Z22" t="s">
        <v>65</v>
      </c>
      <c r="AE22" s="1"/>
      <c r="AM22" s="9">
        <f t="shared" si="4"/>
        <v>0.75183467290460726</v>
      </c>
      <c r="AO22" s="11">
        <f t="shared" si="5"/>
        <v>0.3364485981308411</v>
      </c>
      <c r="AP22" s="11">
        <f t="shared" si="6"/>
        <v>0.80373831775700921</v>
      </c>
      <c r="AQ22" s="11">
        <f t="shared" si="7"/>
        <v>0.3364485981308411</v>
      </c>
      <c r="AR22" s="11">
        <f t="shared" si="8"/>
        <v>0.85046728971962615</v>
      </c>
      <c r="AS22" s="11">
        <f t="shared" si="9"/>
        <v>7.7376616366111733E-2</v>
      </c>
      <c r="AT22">
        <v>1</v>
      </c>
      <c r="AU22">
        <v>1</v>
      </c>
      <c r="AV22">
        <v>1</v>
      </c>
      <c r="AW22">
        <v>1</v>
      </c>
      <c r="AX22">
        <f t="shared" si="10"/>
        <v>8.2792979511739553</v>
      </c>
      <c r="AY22">
        <f t="shared" si="11"/>
        <v>11.413050826205916</v>
      </c>
      <c r="AZ22" s="14"/>
    </row>
    <row r="23" spans="1:52">
      <c r="A23" s="1" t="s">
        <v>38</v>
      </c>
      <c r="B23" s="1"/>
      <c r="C23" s="1"/>
      <c r="D23" s="1"/>
      <c r="E23" s="1"/>
      <c r="F23" s="1">
        <f t="shared" ref="F23:L23" si="12">SUM(F7:F22)</f>
        <v>107</v>
      </c>
      <c r="G23" s="5">
        <f t="shared" si="12"/>
        <v>2.2730487356130757E-2</v>
      </c>
      <c r="H23" s="5">
        <f t="shared" si="12"/>
        <v>0.45505088727817222</v>
      </c>
      <c r="I23" s="5">
        <f t="shared" si="12"/>
        <v>4.5936716311687886E-2</v>
      </c>
      <c r="J23" s="5">
        <f t="shared" si="12"/>
        <v>0.47628190905420881</v>
      </c>
      <c r="K23" s="5">
        <f t="shared" si="12"/>
        <v>1.0000000000001996</v>
      </c>
      <c r="L23" s="5">
        <f t="shared" si="12"/>
        <v>107.00000000002134</v>
      </c>
      <c r="M23" s="7">
        <f>2*SUM(M7:M22)</f>
        <v>13.426106526955186</v>
      </c>
      <c r="N23" s="7">
        <f>SUM(N7:N22)</f>
        <v>8.6753896690347059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9">
        <f>AVERAGE(AM7:AM22)</f>
        <v>1.0888935993692888</v>
      </c>
      <c r="AN23" s="1"/>
      <c r="AO23" s="1"/>
      <c r="AP23" s="1"/>
      <c r="AQ23" s="1"/>
      <c r="AR23" s="1"/>
      <c r="AS23" s="1">
        <f>SUM(AS7:AS22)</f>
        <v>0.99999999999999978</v>
      </c>
      <c r="AT23" s="1"/>
      <c r="AU23" s="1"/>
      <c r="AV23" s="1"/>
      <c r="AW23" s="1"/>
      <c r="AX23" s="1">
        <f>SUM(AX7:AX22)</f>
        <v>106.99999999999997</v>
      </c>
      <c r="AY23" s="1"/>
      <c r="AZ23" s="14"/>
    </row>
    <row r="24" spans="1:52">
      <c r="F24" t="s">
        <v>10</v>
      </c>
      <c r="G24" s="26" t="s">
        <v>16</v>
      </c>
      <c r="H24" s="26" t="s">
        <v>15</v>
      </c>
      <c r="I24" s="26" t="s">
        <v>14</v>
      </c>
      <c r="J24" s="26" t="s">
        <v>13</v>
      </c>
      <c r="K24" t="s">
        <v>11</v>
      </c>
      <c r="L24" s="26" t="s">
        <v>16</v>
      </c>
      <c r="M24" s="26" t="s">
        <v>15</v>
      </c>
      <c r="N24" s="26" t="s">
        <v>14</v>
      </c>
      <c r="O24" s="26" t="s">
        <v>13</v>
      </c>
      <c r="Q24" s="26"/>
      <c r="AM24" s="1"/>
      <c r="AQ24" t="s">
        <v>37</v>
      </c>
      <c r="AZ24" s="14"/>
    </row>
    <row r="25" spans="1:52">
      <c r="F25" s="26" t="s">
        <v>16</v>
      </c>
      <c r="G25">
        <f>F7</f>
        <v>4</v>
      </c>
      <c r="H25">
        <f>F8</f>
        <v>8</v>
      </c>
      <c r="I25">
        <f>F9</f>
        <v>2</v>
      </c>
      <c r="J25">
        <f>F10</f>
        <v>0</v>
      </c>
      <c r="K25" s="26" t="s">
        <v>16</v>
      </c>
      <c r="L25" s="10">
        <f>L7</f>
        <v>3.8473892445014406</v>
      </c>
      <c r="M25" s="10">
        <f>L8</f>
        <v>5.9972685387906681</v>
      </c>
      <c r="N25" s="10">
        <f>L9</f>
        <v>1.2743236152038513</v>
      </c>
      <c r="O25" s="10">
        <f>L10</f>
        <v>1.2505352975938995</v>
      </c>
      <c r="V25" s="28" t="s">
        <v>21</v>
      </c>
      <c r="W25" s="28" t="s">
        <v>22</v>
      </c>
      <c r="X25" s="28" t="s">
        <v>23</v>
      </c>
      <c r="Y25" s="28" t="s">
        <v>26</v>
      </c>
      <c r="Z25" s="28" t="s">
        <v>67</v>
      </c>
      <c r="AA25" s="28" t="s">
        <v>68</v>
      </c>
      <c r="AB25" s="28" t="s">
        <v>69</v>
      </c>
      <c r="AC25" s="28" t="s">
        <v>70</v>
      </c>
      <c r="AD25" s="28" t="s">
        <v>71</v>
      </c>
      <c r="AF25" t="s">
        <v>63</v>
      </c>
      <c r="AM25" s="1"/>
      <c r="AO25" t="s">
        <v>64</v>
      </c>
      <c r="AQ25" s="16">
        <f>SUM(AY7:AY22)</f>
        <v>50.170815280507512</v>
      </c>
      <c r="AR25" t="s">
        <v>32</v>
      </c>
      <c r="AU25" t="s">
        <v>11</v>
      </c>
      <c r="AV25" s="26" t="s">
        <v>16</v>
      </c>
      <c r="AW25" s="26" t="s">
        <v>15</v>
      </c>
      <c r="AX25" s="26" t="s">
        <v>14</v>
      </c>
      <c r="AY25" s="26" t="s">
        <v>13</v>
      </c>
      <c r="AZ25" s="14"/>
    </row>
    <row r="26" spans="1:52">
      <c r="F26" s="26" t="s">
        <v>15</v>
      </c>
      <c r="G26">
        <f>F11</f>
        <v>4</v>
      </c>
      <c r="H26">
        <f>F12</f>
        <v>43</v>
      </c>
      <c r="I26">
        <f>F13</f>
        <v>2</v>
      </c>
      <c r="J26">
        <f>F14</f>
        <v>8</v>
      </c>
      <c r="K26" s="26" t="s">
        <v>15</v>
      </c>
      <c r="L26" s="10">
        <f>L11</f>
        <v>5.9972685387906681</v>
      </c>
      <c r="M26" s="10">
        <f>L12</f>
        <v>41.521870974256672</v>
      </c>
      <c r="N26" s="10">
        <f>L13</f>
        <v>1.2505352975938997</v>
      </c>
      <c r="O26" s="10">
        <f>L14</f>
        <v>8.6580357273610407</v>
      </c>
      <c r="V26" s="2">
        <f>a_00</f>
        <v>2.273048735613075E-2</v>
      </c>
      <c r="W26" s="2">
        <f>a_01</f>
        <v>0.45505088727817217</v>
      </c>
      <c r="X26" s="2">
        <f>a_10</f>
        <v>4.5936716311687879E-2</v>
      </c>
      <c r="Y26" s="2">
        <f>a11_</f>
        <v>0.47628190905420881</v>
      </c>
      <c r="Z26" s="2">
        <f>e_1</f>
        <v>1.0000007766297614E-11</v>
      </c>
      <c r="AA26" s="2">
        <f>e_2</f>
        <v>9.9999869496159022E-13</v>
      </c>
      <c r="AB26" s="2">
        <f>f_1</f>
        <v>0.33420707686602913</v>
      </c>
      <c r="AC26" s="2">
        <f>f_2</f>
        <v>0.12620743136860449</v>
      </c>
      <c r="AD26" s="2">
        <f>K2</f>
        <v>8.6753896690347059</v>
      </c>
      <c r="AF26" t="s">
        <v>35</v>
      </c>
      <c r="AH26" s="10">
        <f>L25+M26+N27+O28</f>
        <v>65.15607808642784</v>
      </c>
      <c r="AI26" t="s">
        <v>9</v>
      </c>
      <c r="AM26" s="1"/>
      <c r="AO26" t="s">
        <v>9</v>
      </c>
      <c r="AP26" t="s">
        <v>35</v>
      </c>
      <c r="AR26" s="10">
        <f>AV26+AW27+AX28+AY29</f>
        <v>42.2210436694875</v>
      </c>
      <c r="AU26" s="26" t="s">
        <v>16</v>
      </c>
      <c r="AV26" s="10">
        <f>AX7</f>
        <v>1.3826257527286805</v>
      </c>
      <c r="AW26" s="10">
        <f>AX8</f>
        <v>7.86368396864437</v>
      </c>
      <c r="AX26" s="10">
        <f>AX9</f>
        <v>0.70104967743989444</v>
      </c>
      <c r="AY26" s="10">
        <f>AX10</f>
        <v>3.9872200404393991</v>
      </c>
      <c r="AZ26" s="14"/>
    </row>
    <row r="27" spans="1:52">
      <c r="F27" s="26" t="s">
        <v>14</v>
      </c>
      <c r="G27">
        <f>F15</f>
        <v>1</v>
      </c>
      <c r="H27">
        <f>F16</f>
        <v>0</v>
      </c>
      <c r="I27">
        <f>F17</f>
        <v>2</v>
      </c>
      <c r="J27">
        <f>F18</f>
        <v>4</v>
      </c>
      <c r="K27" s="26" t="s">
        <v>14</v>
      </c>
      <c r="L27" s="10">
        <f>L15</f>
        <v>1.2743236152038515</v>
      </c>
      <c r="M27" s="10">
        <f>L16</f>
        <v>1.2505352975938997</v>
      </c>
      <c r="N27" s="10">
        <f>L17</f>
        <v>2.5386525405743292</v>
      </c>
      <c r="O27" s="10">
        <f>L18</f>
        <v>2.4912624802534</v>
      </c>
      <c r="AF27" t="s">
        <v>35</v>
      </c>
      <c r="AH27" s="10">
        <f>G25+H26+I27+J28</f>
        <v>67</v>
      </c>
      <c r="AI27" t="s">
        <v>2</v>
      </c>
      <c r="AM27" s="1"/>
      <c r="AO27" t="s">
        <v>2</v>
      </c>
      <c r="AP27" t="s">
        <v>35</v>
      </c>
      <c r="AR27" s="10">
        <f>G25+H26+I27+J28</f>
        <v>67</v>
      </c>
      <c r="AU27" s="26" t="s">
        <v>15</v>
      </c>
      <c r="AV27" s="10">
        <f>AX11</f>
        <v>5.6621816540317349</v>
      </c>
      <c r="AW27" s="10">
        <f>AX12</f>
        <v>32.203658157305483</v>
      </c>
      <c r="AX27" s="10">
        <f>AX13</f>
        <v>2.8709653457062316</v>
      </c>
      <c r="AY27" s="10">
        <f>AX14</f>
        <v>16.328615403704188</v>
      </c>
      <c r="AZ27" s="14"/>
    </row>
    <row r="28" spans="1:52">
      <c r="F28" s="26" t="s">
        <v>13</v>
      </c>
      <c r="G28">
        <f>F19</f>
        <v>1</v>
      </c>
      <c r="H28">
        <f>F20</f>
        <v>10</v>
      </c>
      <c r="I28">
        <f>F21</f>
        <v>0</v>
      </c>
      <c r="J28">
        <f>F22</f>
        <v>18</v>
      </c>
      <c r="K28" s="26" t="s">
        <v>13</v>
      </c>
      <c r="L28" s="10">
        <f>L19</f>
        <v>1.2505352975938995</v>
      </c>
      <c r="M28" s="10">
        <f>L20</f>
        <v>8.6580357273610407</v>
      </c>
      <c r="N28" s="10">
        <f>L21</f>
        <v>2.4912624802533996</v>
      </c>
      <c r="O28" s="10">
        <f>L22</f>
        <v>17.248165327095393</v>
      </c>
      <c r="AM28" s="1"/>
      <c r="AU28" s="26" t="s">
        <v>14</v>
      </c>
      <c r="AV28" s="10">
        <f>AX15</f>
        <v>0.70104967743989444</v>
      </c>
      <c r="AW28" s="10">
        <f>AX16</f>
        <v>3.9872200404393991</v>
      </c>
      <c r="AX28" s="10">
        <f>AX17</f>
        <v>0.35546180827938312</v>
      </c>
      <c r="AY28" s="10">
        <f>AX18</f>
        <v>2.0216890345889911</v>
      </c>
      <c r="AZ28" s="14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U29" s="26" t="s">
        <v>13</v>
      </c>
      <c r="AV29" s="10">
        <f>AX19</f>
        <v>2.8709653457062321</v>
      </c>
      <c r="AW29" s="10">
        <f>AX20</f>
        <v>16.328615403704191</v>
      </c>
      <c r="AX29" s="10">
        <f>AX21</f>
        <v>1.4557007386679486</v>
      </c>
      <c r="AY29" s="10">
        <f>AX22</f>
        <v>8.2792979511739553</v>
      </c>
      <c r="AZ29" s="14"/>
    </row>
    <row r="30" spans="1:52">
      <c r="A30" s="19"/>
      <c r="B30" s="19"/>
      <c r="C30" s="19"/>
      <c r="D30" s="19"/>
      <c r="E30" s="19"/>
      <c r="F30" s="19" t="s">
        <v>48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</row>
    <row r="1189" spans="53:53">
      <c r="BA1189" s="8" t="e">
        <f>#REF!+#REF!+#REF!+#REF!</f>
        <v>#REF!</v>
      </c>
    </row>
  </sheetData>
  <phoneticPr fontId="2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READ_ME</vt:lpstr>
      <vt:lpstr>Two-Choice_anal_4_errors</vt:lpstr>
    </vt:vector>
  </TitlesOfParts>
  <Company>Decision Research Center, Fullerton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H. Birnbaum</dc:creator>
  <cp:lastModifiedBy>Michael Birnbaum</cp:lastModifiedBy>
  <dcterms:created xsi:type="dcterms:W3CDTF">2005-02-23T01:29:02Z</dcterms:created>
  <dcterms:modified xsi:type="dcterms:W3CDTF">2018-07-31T17:57:53Z</dcterms:modified>
</cp:coreProperties>
</file>