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85" windowWidth="14805" windowHeight="7830" activeTab="7"/>
  </bookViews>
  <sheets>
    <sheet name="2 linee " sheetId="1" r:id="rId1"/>
    <sheet name="3 linee" sheetId="2" r:id="rId2"/>
    <sheet name="4 linee" sheetId="3" r:id="rId3"/>
    <sheet name="5 linee" sheetId="4" r:id="rId4"/>
    <sheet name="Grafico2linee" sheetId="5" r:id="rId5"/>
    <sheet name="Grafico3linee" sheetId="6" r:id="rId6"/>
    <sheet name="Grafico4linee" sheetId="7" r:id="rId7"/>
    <sheet name="Grafico5linee" sheetId="8" r:id="rId8"/>
  </sheets>
  <calcPr calcId="145621"/>
</workbook>
</file>

<file path=xl/calcChain.xml><?xml version="1.0" encoding="utf-8"?>
<calcChain xmlns="http://schemas.openxmlformats.org/spreadsheetml/2006/main">
  <c r="K11" i="8" l="1"/>
  <c r="J11" i="8"/>
  <c r="I11" i="8"/>
  <c r="H11" i="8"/>
  <c r="G11" i="8"/>
  <c r="K10" i="8"/>
  <c r="J10" i="8"/>
  <c r="I10" i="8"/>
  <c r="H10" i="8"/>
  <c r="G10" i="8"/>
  <c r="K9" i="8"/>
  <c r="J9" i="8"/>
  <c r="I9" i="8"/>
  <c r="H9" i="8"/>
  <c r="G9" i="8"/>
  <c r="K8" i="8"/>
  <c r="J8" i="8"/>
  <c r="I8" i="8"/>
  <c r="H8" i="8"/>
  <c r="G8" i="8"/>
  <c r="K7" i="8"/>
  <c r="J7" i="8"/>
  <c r="I7" i="8"/>
  <c r="H7" i="8"/>
  <c r="G7" i="8"/>
  <c r="L24" i="5" l="1"/>
  <c r="L23" i="5"/>
  <c r="M25" i="6"/>
  <c r="M24" i="6"/>
  <c r="M23" i="6"/>
  <c r="M25" i="7"/>
  <c r="M24" i="7"/>
  <c r="M23" i="7"/>
  <c r="M22" i="7"/>
  <c r="M19" i="6" l="1"/>
  <c r="M18" i="6"/>
  <c r="M17" i="6"/>
  <c r="L12" i="5" l="1"/>
  <c r="L11" i="5"/>
  <c r="L10" i="5"/>
  <c r="L9" i="5"/>
  <c r="L17" i="5"/>
  <c r="L16" i="5"/>
  <c r="M19" i="7" l="1"/>
  <c r="M18" i="7"/>
  <c r="M17" i="7"/>
  <c r="M16" i="7"/>
  <c r="M15" i="7"/>
  <c r="M10" i="7"/>
  <c r="M9" i="7"/>
  <c r="M8" i="7"/>
  <c r="M7" i="7"/>
  <c r="M6" i="7"/>
  <c r="F16" i="5" l="1"/>
  <c r="N159" i="2" l="1"/>
  <c r="N158" i="2"/>
  <c r="N157" i="2"/>
  <c r="N156" i="2"/>
  <c r="R6" i="1" l="1"/>
  <c r="Q6" i="1"/>
  <c r="P6" i="1"/>
  <c r="O6" i="1"/>
  <c r="N6" i="1"/>
  <c r="R5" i="1"/>
  <c r="Q5" i="1"/>
  <c r="P5" i="1"/>
  <c r="O5" i="1"/>
  <c r="N5" i="1"/>
  <c r="S9" i="4"/>
  <c r="R9" i="4"/>
  <c r="Q9" i="4"/>
  <c r="P9" i="4"/>
  <c r="S8" i="4"/>
  <c r="R8" i="4"/>
  <c r="Q8" i="4"/>
  <c r="P8" i="4"/>
  <c r="S7" i="4"/>
  <c r="R7" i="4"/>
  <c r="Q7" i="4"/>
  <c r="P7" i="4"/>
  <c r="S6" i="4"/>
  <c r="R6" i="4"/>
  <c r="Q6" i="4"/>
  <c r="P6" i="4"/>
  <c r="S5" i="4"/>
  <c r="R5" i="4"/>
  <c r="Q5" i="4"/>
  <c r="P5" i="4"/>
  <c r="O9" i="4"/>
  <c r="O8" i="4"/>
  <c r="O7" i="4"/>
  <c r="O6" i="4"/>
  <c r="O5" i="4"/>
  <c r="S13" i="3"/>
  <c r="R13" i="3"/>
  <c r="Q13" i="3"/>
  <c r="P13" i="3"/>
  <c r="S11" i="3"/>
  <c r="R11" i="3"/>
  <c r="Q11" i="3"/>
  <c r="P11" i="3"/>
  <c r="S9" i="3"/>
  <c r="R9" i="3"/>
  <c r="Q9" i="3"/>
  <c r="P9" i="3"/>
  <c r="O13" i="3"/>
  <c r="O11" i="3"/>
  <c r="O9" i="3"/>
  <c r="O12" i="3"/>
  <c r="O10" i="3"/>
  <c r="O8" i="3"/>
  <c r="S10" i="2"/>
  <c r="R10" i="2"/>
  <c r="Q10" i="2"/>
  <c r="S8" i="2"/>
  <c r="R8" i="2"/>
  <c r="Q8" i="2"/>
  <c r="S6" i="2"/>
  <c r="R6" i="2"/>
  <c r="Q6" i="2"/>
  <c r="P8" i="2"/>
  <c r="P10" i="2"/>
  <c r="P6" i="2"/>
  <c r="O10" i="2"/>
  <c r="O8" i="2"/>
  <c r="O6" i="2"/>
  <c r="R5" i="2"/>
  <c r="Q9" i="2"/>
  <c r="Q7" i="2"/>
  <c r="Q5" i="2"/>
  <c r="P9" i="2"/>
  <c r="P7" i="2"/>
  <c r="P5" i="2"/>
  <c r="O9" i="2"/>
  <c r="O7" i="2"/>
  <c r="O5" i="2"/>
  <c r="H12" i="8" l="1"/>
  <c r="H27" i="8" s="1"/>
  <c r="G12" i="8"/>
  <c r="B42" i="8"/>
  <c r="B37" i="8"/>
  <c r="B32" i="8"/>
  <c r="B27" i="8"/>
  <c r="B17" i="8"/>
  <c r="B12" i="8"/>
  <c r="B7" i="8"/>
  <c r="B2" i="8"/>
  <c r="K6" i="7"/>
  <c r="K9" i="7"/>
  <c r="K8" i="7"/>
  <c r="K7" i="7"/>
  <c r="J6" i="7"/>
  <c r="J9" i="7"/>
  <c r="J8" i="7"/>
  <c r="J7" i="7"/>
  <c r="I6" i="7"/>
  <c r="I9" i="7"/>
  <c r="I8" i="7"/>
  <c r="I7" i="7"/>
  <c r="H9" i="7"/>
  <c r="H8" i="7"/>
  <c r="H7" i="7"/>
  <c r="G9" i="7"/>
  <c r="G8" i="7"/>
  <c r="G7" i="7"/>
  <c r="B95" i="7"/>
  <c r="B91" i="7"/>
  <c r="B87" i="7"/>
  <c r="B75" i="7"/>
  <c r="B71" i="7"/>
  <c r="B67" i="7"/>
  <c r="B63" i="7"/>
  <c r="B55" i="7"/>
  <c r="B51" i="7"/>
  <c r="B47" i="7"/>
  <c r="B43" i="7"/>
  <c r="B35" i="7"/>
  <c r="B31" i="7"/>
  <c r="B27" i="7"/>
  <c r="B15" i="7"/>
  <c r="B11" i="7"/>
  <c r="B7" i="7"/>
  <c r="H6" i="7" s="1"/>
  <c r="B2" i="7"/>
  <c r="G6" i="7" s="1"/>
  <c r="K25" i="6"/>
  <c r="K24" i="6"/>
  <c r="K23" i="6"/>
  <c r="J25" i="6"/>
  <c r="J24" i="6"/>
  <c r="J23" i="6"/>
  <c r="I25" i="6"/>
  <c r="I24" i="6"/>
  <c r="I23" i="6"/>
  <c r="H25" i="6"/>
  <c r="H24" i="6"/>
  <c r="H23" i="6"/>
  <c r="G25" i="6"/>
  <c r="G24" i="6"/>
  <c r="G23" i="6"/>
  <c r="K19" i="6"/>
  <c r="K18" i="6"/>
  <c r="K17" i="6"/>
  <c r="J19" i="6"/>
  <c r="J18" i="6"/>
  <c r="J17" i="6"/>
  <c r="I19" i="6"/>
  <c r="I18" i="6"/>
  <c r="I17" i="6"/>
  <c r="H19" i="6"/>
  <c r="H18" i="6"/>
  <c r="H17" i="6"/>
  <c r="G19" i="6"/>
  <c r="G18" i="6"/>
  <c r="G17" i="6"/>
  <c r="K11" i="6"/>
  <c r="K10" i="6"/>
  <c r="K9" i="6"/>
  <c r="J11" i="6"/>
  <c r="J10" i="6"/>
  <c r="J9" i="6"/>
  <c r="I11" i="6"/>
  <c r="I10" i="6"/>
  <c r="I9" i="6"/>
  <c r="H11" i="6"/>
  <c r="H10" i="6"/>
  <c r="H9" i="6"/>
  <c r="G12" i="6"/>
  <c r="G11" i="6"/>
  <c r="G10" i="6"/>
  <c r="G9" i="6"/>
  <c r="B161" i="6"/>
  <c r="B158" i="6"/>
  <c r="B155" i="6"/>
  <c r="B152" i="6"/>
  <c r="B146" i="6"/>
  <c r="B143" i="6"/>
  <c r="B140" i="6"/>
  <c r="B137" i="6"/>
  <c r="B133" i="6"/>
  <c r="B132" i="6"/>
  <c r="B131" i="6"/>
  <c r="B130" i="6"/>
  <c r="B129" i="6"/>
  <c r="B128" i="6"/>
  <c r="B127" i="6"/>
  <c r="B126" i="6"/>
  <c r="B125" i="6"/>
  <c r="B124" i="6"/>
  <c r="B123" i="6"/>
  <c r="B122" i="6"/>
  <c r="B116" i="6"/>
  <c r="B113" i="6"/>
  <c r="B110" i="6"/>
  <c r="B108" i="6"/>
  <c r="B101" i="6"/>
  <c r="B98" i="6"/>
  <c r="B95" i="6"/>
  <c r="B92" i="6"/>
  <c r="B86" i="6"/>
  <c r="B83" i="6"/>
  <c r="B80" i="6"/>
  <c r="B78" i="6"/>
  <c r="B77" i="6"/>
  <c r="B71" i="6"/>
  <c r="B68" i="6"/>
  <c r="B65" i="6"/>
  <c r="B56" i="6"/>
  <c r="B53" i="6"/>
  <c r="B50" i="6"/>
  <c r="B41" i="6"/>
  <c r="B38" i="6"/>
  <c r="B35" i="6"/>
  <c r="B32" i="6"/>
  <c r="B28" i="6"/>
  <c r="B27" i="6"/>
  <c r="B26" i="6"/>
  <c r="B25" i="6"/>
  <c r="B24" i="6"/>
  <c r="B23" i="6"/>
  <c r="B20" i="6"/>
  <c r="B17" i="6"/>
  <c r="B8" i="6"/>
  <c r="B5" i="6"/>
  <c r="B2" i="6"/>
  <c r="J24" i="5"/>
  <c r="J23" i="5"/>
  <c r="I24" i="5"/>
  <c r="I23" i="5"/>
  <c r="H24" i="5"/>
  <c r="H23" i="5"/>
  <c r="G24" i="5"/>
  <c r="G23" i="5"/>
  <c r="F24" i="5"/>
  <c r="J17" i="5"/>
  <c r="J16" i="5"/>
  <c r="I17" i="5"/>
  <c r="I16" i="5"/>
  <c r="H17" i="5"/>
  <c r="H16" i="5"/>
  <c r="G17" i="5"/>
  <c r="G16" i="5"/>
  <c r="F17" i="5"/>
  <c r="F23" i="5"/>
  <c r="J11" i="5"/>
  <c r="I11" i="5"/>
  <c r="H11" i="5"/>
  <c r="G11" i="5"/>
  <c r="F11" i="5"/>
  <c r="J10" i="5"/>
  <c r="J9" i="5"/>
  <c r="I10" i="5"/>
  <c r="I9" i="5"/>
  <c r="H10" i="5"/>
  <c r="G10" i="5"/>
  <c r="F10" i="5"/>
  <c r="B58" i="5"/>
  <c r="B56" i="5"/>
  <c r="B54" i="5"/>
  <c r="B48" i="5"/>
  <c r="B46" i="5"/>
  <c r="B44" i="5"/>
  <c r="B42" i="5"/>
  <c r="B38" i="5"/>
  <c r="B36" i="5"/>
  <c r="B34" i="5"/>
  <c r="B32" i="5"/>
  <c r="B28" i="5"/>
  <c r="B26" i="5"/>
  <c r="B24" i="5"/>
  <c r="B22" i="5"/>
  <c r="B12" i="5"/>
  <c r="F9" i="5" s="1"/>
  <c r="B8" i="5"/>
  <c r="B6" i="5"/>
  <c r="H9" i="5" s="1"/>
  <c r="B4" i="5"/>
  <c r="G9" i="5" s="1"/>
  <c r="B3" i="5"/>
  <c r="L113" i="3"/>
  <c r="L112" i="3"/>
  <c r="L109" i="3"/>
  <c r="L108" i="3"/>
  <c r="L105" i="3"/>
  <c r="L104" i="3"/>
  <c r="L101" i="3"/>
  <c r="L100" i="3"/>
  <c r="L97" i="3"/>
  <c r="L96" i="3"/>
  <c r="L93" i="3"/>
  <c r="L90" i="3"/>
  <c r="L89" i="3"/>
  <c r="L86" i="3"/>
  <c r="L85" i="3"/>
  <c r="L82" i="3"/>
  <c r="L81" i="3"/>
  <c r="L78" i="3"/>
  <c r="L77" i="3"/>
  <c r="L76" i="3"/>
  <c r="L73" i="3"/>
  <c r="L70" i="3"/>
  <c r="L69" i="3"/>
  <c r="L66" i="3"/>
  <c r="L65" i="3"/>
  <c r="L62" i="3"/>
  <c r="L61" i="3"/>
  <c r="L58" i="3"/>
  <c r="L57" i="3"/>
  <c r="L56" i="3"/>
  <c r="L53" i="3"/>
  <c r="L50" i="3"/>
  <c r="L49" i="3"/>
  <c r="L46" i="3"/>
  <c r="L45" i="3"/>
  <c r="L42" i="3"/>
  <c r="L41" i="3"/>
  <c r="L38" i="3"/>
  <c r="L37" i="3"/>
  <c r="L36" i="3"/>
  <c r="L33" i="3"/>
  <c r="L32" i="3"/>
  <c r="L29" i="3"/>
  <c r="L28" i="3"/>
  <c r="L25" i="3"/>
  <c r="L24" i="3"/>
  <c r="L20" i="3"/>
  <c r="L19" i="3"/>
  <c r="L17" i="3"/>
  <c r="L16" i="3"/>
  <c r="L13" i="3"/>
  <c r="L12" i="3"/>
  <c r="L9" i="3"/>
  <c r="L8" i="3"/>
  <c r="L5" i="3"/>
  <c r="L4" i="3"/>
  <c r="L111" i="3"/>
  <c r="L107" i="3"/>
  <c r="L103" i="3"/>
  <c r="L99" i="3"/>
  <c r="L95" i="3"/>
  <c r="L92" i="3"/>
  <c r="L88" i="3"/>
  <c r="L84" i="3"/>
  <c r="L80" i="3"/>
  <c r="L75" i="3"/>
  <c r="L72" i="3"/>
  <c r="L68" i="3"/>
  <c r="L64" i="3"/>
  <c r="L60" i="3"/>
  <c r="L55" i="3"/>
  <c r="L52" i="3"/>
  <c r="L48" i="3"/>
  <c r="L44" i="3"/>
  <c r="L40" i="3"/>
  <c r="L35" i="3"/>
  <c r="L30" i="3"/>
  <c r="L26" i="3"/>
  <c r="L22" i="3"/>
  <c r="L21" i="3"/>
  <c r="L14" i="3"/>
  <c r="L10" i="3"/>
  <c r="L6" i="3"/>
  <c r="L3" i="3"/>
  <c r="L129" i="2"/>
  <c r="L196" i="2"/>
  <c r="L193" i="2"/>
  <c r="L190" i="2"/>
  <c r="L187" i="2"/>
  <c r="L184" i="2"/>
  <c r="L181" i="2"/>
  <c r="L178" i="2"/>
  <c r="L175" i="2"/>
  <c r="L172" i="2"/>
  <c r="L169" i="2"/>
  <c r="L165" i="2"/>
  <c r="L162" i="2"/>
  <c r="L159" i="2"/>
  <c r="L156" i="2"/>
  <c r="L153" i="2"/>
  <c r="L150" i="2"/>
  <c r="L147" i="2"/>
  <c r="L144" i="2"/>
  <c r="L141" i="2"/>
  <c r="L138" i="2"/>
  <c r="L135" i="2"/>
  <c r="L132" i="2"/>
  <c r="L126" i="2"/>
  <c r="L123" i="2"/>
  <c r="L120" i="2"/>
  <c r="L117" i="2"/>
  <c r="L114" i="2"/>
  <c r="L111" i="2"/>
  <c r="L108" i="2"/>
  <c r="L105" i="2"/>
  <c r="L102" i="2"/>
  <c r="L99" i="2"/>
  <c r="L96" i="2"/>
  <c r="L93" i="2"/>
  <c r="L90" i="2"/>
  <c r="L87" i="2"/>
  <c r="L84" i="2"/>
  <c r="L81" i="2"/>
  <c r="L78" i="2"/>
  <c r="L75" i="2"/>
  <c r="L72" i="2"/>
  <c r="L69" i="2"/>
  <c r="L66" i="2"/>
  <c r="L63" i="2"/>
  <c r="L60" i="2"/>
  <c r="L57" i="2"/>
  <c r="L54" i="2"/>
  <c r="L51" i="2"/>
  <c r="L48" i="2"/>
  <c r="L45" i="2"/>
  <c r="L42" i="2"/>
  <c r="L39" i="2"/>
  <c r="L36" i="2"/>
  <c r="L33" i="2"/>
  <c r="L30" i="2"/>
  <c r="L27" i="2"/>
  <c r="L24" i="2"/>
  <c r="L21" i="2"/>
  <c r="L18" i="2"/>
  <c r="L15" i="2"/>
  <c r="L12" i="2"/>
  <c r="L9" i="2"/>
  <c r="L6" i="2"/>
  <c r="L3" i="2"/>
  <c r="L194" i="2"/>
  <c r="L191" i="2"/>
  <c r="L188" i="2"/>
  <c r="L185" i="2"/>
  <c r="L182" i="2"/>
  <c r="L179" i="2"/>
  <c r="L176" i="2"/>
  <c r="L173" i="2"/>
  <c r="L170" i="2"/>
  <c r="L167" i="2"/>
  <c r="L164" i="2"/>
  <c r="L161" i="2"/>
  <c r="L155" i="2"/>
  <c r="L152" i="2"/>
  <c r="L149" i="2"/>
  <c r="L146" i="2"/>
  <c r="L143" i="2"/>
  <c r="L140" i="2"/>
  <c r="L137" i="2"/>
  <c r="L134" i="2"/>
  <c r="L131" i="2"/>
  <c r="L128" i="2"/>
  <c r="L125" i="2"/>
  <c r="L122" i="2"/>
  <c r="L119" i="2"/>
  <c r="L116" i="2"/>
  <c r="L113" i="2"/>
  <c r="L110" i="2"/>
  <c r="L107" i="2"/>
  <c r="L104" i="2"/>
  <c r="L101" i="2"/>
  <c r="L98" i="2"/>
  <c r="L95" i="2"/>
  <c r="L92" i="2"/>
  <c r="L89" i="2"/>
  <c r="L86" i="2"/>
  <c r="L83" i="2"/>
  <c r="L80" i="2"/>
  <c r="L77" i="2"/>
  <c r="L74" i="2"/>
  <c r="L71" i="2"/>
  <c r="L68" i="2"/>
  <c r="L65" i="2"/>
  <c r="L62" i="2"/>
  <c r="L59" i="2"/>
  <c r="L56" i="2"/>
  <c r="L53" i="2"/>
  <c r="L50" i="2"/>
  <c r="L47" i="2"/>
  <c r="L44" i="2"/>
  <c r="L41" i="2"/>
  <c r="L38" i="2"/>
  <c r="L35" i="2"/>
  <c r="L32" i="2"/>
  <c r="L29" i="2"/>
  <c r="L26" i="2"/>
  <c r="L23" i="2"/>
  <c r="L20" i="2"/>
  <c r="L17" i="2"/>
  <c r="L14" i="2"/>
  <c r="L11" i="2"/>
  <c r="L8" i="2"/>
  <c r="L5" i="2"/>
  <c r="L2" i="2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6" i="1"/>
  <c r="L5" i="1"/>
  <c r="L4" i="1"/>
  <c r="L3" i="1"/>
  <c r="L2" i="1"/>
  <c r="H25" i="8" l="1"/>
  <c r="H26" i="8"/>
  <c r="H24" i="8"/>
  <c r="H28" i="8"/>
  <c r="J10" i="7"/>
  <c r="J15" i="7" s="1"/>
  <c r="J22" i="7" s="1"/>
  <c r="J18" i="7"/>
  <c r="J25" i="7" s="1"/>
  <c r="G10" i="7"/>
  <c r="G17" i="7" s="1"/>
  <c r="G24" i="7" s="1"/>
  <c r="K10" i="7"/>
  <c r="K17" i="7" s="1"/>
  <c r="K24" i="7" s="1"/>
  <c r="H10" i="7"/>
  <c r="I10" i="7"/>
  <c r="I15" i="7" s="1"/>
  <c r="I22" i="7" s="1"/>
  <c r="J16" i="7"/>
  <c r="J23" i="7" s="1"/>
  <c r="K12" i="8"/>
  <c r="J12" i="8"/>
  <c r="I12" i="8"/>
  <c r="K12" i="6"/>
  <c r="J12" i="6"/>
  <c r="I12" i="6"/>
  <c r="H12" i="6"/>
  <c r="C17" i="4"/>
  <c r="C12" i="4"/>
  <c r="C7" i="4"/>
  <c r="C2" i="4"/>
  <c r="C42" i="4"/>
  <c r="C37" i="4"/>
  <c r="C32" i="4"/>
  <c r="C27" i="4"/>
  <c r="C51" i="3"/>
  <c r="C47" i="3"/>
  <c r="C43" i="3"/>
  <c r="C39" i="3"/>
  <c r="C71" i="3"/>
  <c r="C67" i="3"/>
  <c r="C63" i="3"/>
  <c r="C59" i="3"/>
  <c r="C87" i="3"/>
  <c r="C83" i="3"/>
  <c r="C79" i="3"/>
  <c r="C31" i="3"/>
  <c r="C27" i="3"/>
  <c r="C23" i="3"/>
  <c r="C15" i="3"/>
  <c r="C11" i="3"/>
  <c r="C7" i="3"/>
  <c r="C2" i="3"/>
  <c r="C161" i="2"/>
  <c r="C158" i="2"/>
  <c r="C155" i="2"/>
  <c r="C152" i="2"/>
  <c r="C101" i="2"/>
  <c r="C98" i="2"/>
  <c r="C95" i="2"/>
  <c r="C92" i="2"/>
  <c r="C8" i="2"/>
  <c r="C5" i="2"/>
  <c r="C2" i="2"/>
  <c r="C71" i="2"/>
  <c r="C68" i="2"/>
  <c r="C65" i="2"/>
  <c r="C86" i="2"/>
  <c r="C83" i="2"/>
  <c r="C80" i="2"/>
  <c r="C77" i="2"/>
  <c r="C78" i="2"/>
  <c r="C116" i="2"/>
  <c r="C113" i="2"/>
  <c r="C110" i="2"/>
  <c r="C108" i="2"/>
  <c r="C56" i="2"/>
  <c r="C53" i="2"/>
  <c r="C50" i="2"/>
  <c r="C146" i="2"/>
  <c r="C143" i="2"/>
  <c r="C140" i="2"/>
  <c r="C137" i="2"/>
  <c r="C27" i="2"/>
  <c r="C28" i="2"/>
  <c r="C26" i="2"/>
  <c r="C24" i="2"/>
  <c r="C25" i="2"/>
  <c r="C23" i="2"/>
  <c r="C20" i="2"/>
  <c r="C17" i="2"/>
  <c r="C41" i="2"/>
  <c r="C38" i="2"/>
  <c r="C35" i="2"/>
  <c r="C32" i="2"/>
  <c r="C132" i="2"/>
  <c r="C131" i="2"/>
  <c r="C133" i="2"/>
  <c r="C129" i="2"/>
  <c r="C128" i="2"/>
  <c r="C130" i="2"/>
  <c r="C126" i="2"/>
  <c r="C125" i="2"/>
  <c r="C127" i="2"/>
  <c r="C123" i="2"/>
  <c r="C122" i="2"/>
  <c r="C124" i="2"/>
  <c r="C38" i="1"/>
  <c r="C36" i="1"/>
  <c r="C34" i="1"/>
  <c r="C32" i="1"/>
  <c r="C58" i="1"/>
  <c r="C56" i="1"/>
  <c r="C54" i="1"/>
  <c r="C48" i="1"/>
  <c r="C46" i="1"/>
  <c r="C44" i="1"/>
  <c r="C28" i="1"/>
  <c r="C26" i="1"/>
  <c r="C24" i="1"/>
  <c r="C8" i="1"/>
  <c r="C6" i="1"/>
  <c r="C4" i="1"/>
  <c r="C42" i="1"/>
  <c r="C12" i="1"/>
  <c r="C22" i="1"/>
  <c r="C3" i="1"/>
  <c r="K25" i="8" l="1"/>
  <c r="K27" i="8"/>
  <c r="K28" i="8"/>
  <c r="K24" i="8"/>
  <c r="K26" i="8"/>
  <c r="J27" i="8"/>
  <c r="J28" i="8"/>
  <c r="J24" i="8"/>
  <c r="J26" i="8"/>
  <c r="J25" i="8"/>
  <c r="I25" i="8"/>
  <c r="I28" i="8"/>
  <c r="I24" i="8"/>
  <c r="I27" i="8"/>
  <c r="I26" i="8"/>
  <c r="M12" i="8"/>
  <c r="G25" i="8"/>
  <c r="G28" i="8"/>
  <c r="G24" i="8"/>
  <c r="G27" i="8"/>
  <c r="G26" i="8"/>
  <c r="K16" i="7"/>
  <c r="K23" i="7" s="1"/>
  <c r="G16" i="7"/>
  <c r="G23" i="7" s="1"/>
  <c r="G18" i="7"/>
  <c r="G25" i="7" s="1"/>
  <c r="G15" i="7"/>
  <c r="G22" i="7" s="1"/>
  <c r="J17" i="7"/>
  <c r="J24" i="7" s="1"/>
  <c r="H15" i="7"/>
  <c r="H22" i="7" s="1"/>
  <c r="H18" i="7"/>
  <c r="H25" i="7" s="1"/>
  <c r="I16" i="7"/>
  <c r="I23" i="7" s="1"/>
  <c r="K15" i="7"/>
  <c r="K22" i="7" s="1"/>
  <c r="K18" i="7"/>
  <c r="K25" i="7" s="1"/>
  <c r="I18" i="7"/>
  <c r="I25" i="7" s="1"/>
  <c r="I17" i="7"/>
  <c r="I24" i="7" s="1"/>
  <c r="H17" i="7"/>
  <c r="H24" i="7" s="1"/>
  <c r="H16" i="7"/>
  <c r="H23" i="7" s="1"/>
  <c r="M19" i="8" l="1"/>
  <c r="M26" i="8" s="1"/>
  <c r="M21" i="8"/>
  <c r="M28" i="8" s="1"/>
  <c r="M17" i="8"/>
  <c r="M24" i="8" s="1"/>
  <c r="M18" i="8"/>
  <c r="M25" i="8" s="1"/>
  <c r="M20" i="8"/>
  <c r="M27" i="8" s="1"/>
  <c r="M22" i="8" l="1"/>
</calcChain>
</file>

<file path=xl/comments1.xml><?xml version="1.0" encoding="utf-8"?>
<comments xmlns="http://schemas.openxmlformats.org/spreadsheetml/2006/main">
  <authors>
    <author>Autore</author>
  </authors>
  <commentList>
    <comment ref="L23" authorId="0">
      <text>
        <r>
          <rPr>
            <b/>
            <sz val="9"/>
            <color indexed="81"/>
            <rFont val="Tahoma"/>
            <family val="2"/>
          </rPr>
          <t>Autore:</t>
        </r>
        <r>
          <rPr>
            <sz val="9"/>
            <color indexed="81"/>
            <rFont val="Tahoma"/>
            <family val="2"/>
          </rPr>
          <t xml:space="preserve">
NEW HHI</t>
        </r>
      </text>
    </comment>
  </commentList>
</comments>
</file>

<file path=xl/comments2.xml><?xml version="1.0" encoding="utf-8"?>
<comments xmlns="http://schemas.openxmlformats.org/spreadsheetml/2006/main">
  <authors>
    <author>Autore</author>
  </authors>
  <commentList>
    <comment ref="M23" authorId="0">
      <text>
        <r>
          <rPr>
            <b/>
            <sz val="9"/>
            <color indexed="81"/>
            <rFont val="Tahoma"/>
            <family val="2"/>
          </rPr>
          <t>Autore:</t>
        </r>
        <r>
          <rPr>
            <sz val="9"/>
            <color indexed="81"/>
            <rFont val="Tahoma"/>
            <family val="2"/>
          </rPr>
          <t xml:space="preserve">
NEW HHI</t>
        </r>
      </text>
    </comment>
  </commentList>
</comments>
</file>

<file path=xl/comments3.xml><?xml version="1.0" encoding="utf-8"?>
<comments xmlns="http://schemas.openxmlformats.org/spreadsheetml/2006/main">
  <authors>
    <author>Autore</author>
  </authors>
  <commentList>
    <comment ref="M22" authorId="0">
      <text>
        <r>
          <rPr>
            <b/>
            <sz val="9"/>
            <color indexed="81"/>
            <rFont val="Tahoma"/>
            <family val="2"/>
          </rPr>
          <t>Autore:</t>
        </r>
        <r>
          <rPr>
            <sz val="9"/>
            <color indexed="81"/>
            <rFont val="Tahoma"/>
            <family val="2"/>
          </rPr>
          <t xml:space="preserve">
NEW HHI</t>
        </r>
      </text>
    </comment>
  </commentList>
</comments>
</file>

<file path=xl/comments4.xml><?xml version="1.0" encoding="utf-8"?>
<comments xmlns="http://schemas.openxmlformats.org/spreadsheetml/2006/main">
  <authors>
    <author>Autore</author>
  </authors>
  <commentList>
    <comment ref="M24" authorId="0">
      <text>
        <r>
          <rPr>
            <b/>
            <sz val="9"/>
            <color indexed="81"/>
            <rFont val="Tahoma"/>
            <family val="2"/>
          </rPr>
          <t>Autore:</t>
        </r>
        <r>
          <rPr>
            <sz val="9"/>
            <color indexed="81"/>
            <rFont val="Tahoma"/>
            <family val="2"/>
          </rPr>
          <t xml:space="preserve">
NEW HHI</t>
        </r>
      </text>
    </comment>
  </commentList>
</comments>
</file>

<file path=xl/sharedStrings.xml><?xml version="1.0" encoding="utf-8"?>
<sst xmlns="http://schemas.openxmlformats.org/spreadsheetml/2006/main" count="2225" uniqueCount="97">
  <si>
    <t>Fondo</t>
  </si>
  <si>
    <t>Aderenti</t>
  </si>
  <si>
    <t>Linea</t>
  </si>
  <si>
    <t>Anno</t>
  </si>
  <si>
    <t>Astri</t>
  </si>
  <si>
    <t>Garantito</t>
  </si>
  <si>
    <t>Bilanciato</t>
  </si>
  <si>
    <t>Fondoposte</t>
  </si>
  <si>
    <t>Concreto</t>
  </si>
  <si>
    <t>Previambiente</t>
  </si>
  <si>
    <t>Bilancaito</t>
  </si>
  <si>
    <t>Previlog</t>
  </si>
  <si>
    <t>Prevedi</t>
  </si>
  <si>
    <t>Tipo</t>
  </si>
  <si>
    <t>Gommaplastica</t>
  </si>
  <si>
    <t>Dinamico</t>
  </si>
  <si>
    <t>Byblos</t>
  </si>
  <si>
    <t>Arco</t>
  </si>
  <si>
    <t>Previcooper</t>
  </si>
  <si>
    <t>Cooperlavoro</t>
  </si>
  <si>
    <t>Fondenergia</t>
  </si>
  <si>
    <t>Fonchim</t>
  </si>
  <si>
    <t>Eurofer</t>
  </si>
  <si>
    <t>Alifond</t>
  </si>
  <si>
    <t>Fondapi</t>
  </si>
  <si>
    <t>Priamo</t>
  </si>
  <si>
    <t xml:space="preserve">Anno </t>
  </si>
  <si>
    <t>Cometa</t>
  </si>
  <si>
    <t xml:space="preserve">Garantito </t>
  </si>
  <si>
    <t>Prudente</t>
  </si>
  <si>
    <t>Fonte</t>
  </si>
  <si>
    <t>Previmoda</t>
  </si>
  <si>
    <t>Pegaso</t>
  </si>
  <si>
    <t>Laborfonds</t>
  </si>
  <si>
    <t>Telemaco</t>
  </si>
  <si>
    <t>Conservativo</t>
  </si>
  <si>
    <t>Fondav</t>
  </si>
  <si>
    <t>Category</t>
  </si>
  <si>
    <t>Macro</t>
  </si>
  <si>
    <t>Food</t>
  </si>
  <si>
    <t>Industry Production</t>
  </si>
  <si>
    <t>Wood</t>
  </si>
  <si>
    <t>Transport</t>
  </si>
  <si>
    <t xml:space="preserve">Transport </t>
  </si>
  <si>
    <t>Editorial</t>
  </si>
  <si>
    <t>Factory</t>
  </si>
  <si>
    <t>Building</t>
  </si>
  <si>
    <t>Coop</t>
  </si>
  <si>
    <t>Mix</t>
  </si>
  <si>
    <t>Railway</t>
  </si>
  <si>
    <t>Chemical</t>
  </si>
  <si>
    <t>Small Mix</t>
  </si>
  <si>
    <t>Flight</t>
  </si>
  <si>
    <t>Energy</t>
  </si>
  <si>
    <t>Mail</t>
  </si>
  <si>
    <t>Distribution</t>
  </si>
  <si>
    <t>Service</t>
  </si>
  <si>
    <t>Plastic</t>
  </si>
  <si>
    <t>Region</t>
  </si>
  <si>
    <t>Utilities</t>
  </si>
  <si>
    <t>Small Building</t>
  </si>
  <si>
    <t>Environment</t>
  </si>
  <si>
    <t>Distribution coop</t>
  </si>
  <si>
    <t>Logistic</t>
  </si>
  <si>
    <t>Fashion</t>
  </si>
  <si>
    <t>Public transport</t>
  </si>
  <si>
    <t>Telecommunication</t>
  </si>
  <si>
    <t>N labour union</t>
  </si>
  <si>
    <t>Nlabour union</t>
  </si>
  <si>
    <t xml:space="preserve">Category </t>
  </si>
  <si>
    <t>Nlabourunion</t>
  </si>
  <si>
    <t>Previolg</t>
  </si>
  <si>
    <t>bilanciato</t>
  </si>
  <si>
    <t>Performance</t>
  </si>
  <si>
    <t>Nfirms</t>
  </si>
  <si>
    <t>ID</t>
  </si>
  <si>
    <t>ISC</t>
  </si>
  <si>
    <t>Foncer</t>
  </si>
  <si>
    <t>Ceramica</t>
  </si>
  <si>
    <t>FIAT</t>
  </si>
  <si>
    <t>Cars</t>
  </si>
  <si>
    <t>Solidarietà</t>
  </si>
  <si>
    <t>Type</t>
  </si>
  <si>
    <t>No-risk</t>
  </si>
  <si>
    <t>Balanced</t>
  </si>
  <si>
    <t>Herfindahl</t>
  </si>
  <si>
    <t>Growth</t>
  </si>
  <si>
    <t>Low risk</t>
  </si>
  <si>
    <t>Very low risk</t>
  </si>
  <si>
    <t>ISC MEDIO</t>
  </si>
  <si>
    <t>Percromance Media</t>
  </si>
  <si>
    <t>ISC medio</t>
  </si>
  <si>
    <t>Performance Media</t>
  </si>
  <si>
    <t xml:space="preserve">Performance Media </t>
  </si>
  <si>
    <t>Perfromance media</t>
  </si>
  <si>
    <t>TOT</t>
  </si>
  <si>
    <t>Tot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</si>
</sst>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Fill="1" applyAlignment="1">
      <alignment horizontal="center"/>
    </xf>
    <xf numFmtId="0" fontId="0" fillId="0" borderId="0" xfId="0" applyFill="1"/>
    <xf numFmtId="1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1" fontId="0" fillId="0" borderId="0" xfId="0" applyNumberFormat="1" applyFont="1" applyFill="1" applyAlignment="1">
      <alignment horizontal="center"/>
    </xf>
    <xf numFmtId="0" fontId="1" fillId="0" borderId="0" xfId="0" applyFont="1"/>
    <xf numFmtId="0" fontId="0" fillId="0" borderId="0" xfId="0" applyNumberFormat="1" applyFill="1" applyAlignment="1">
      <alignment horizontal="center"/>
    </xf>
    <xf numFmtId="2" fontId="0" fillId="0" borderId="0" xfId="0" applyNumberFormat="1" applyFill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/>
    <xf numFmtId="2" fontId="0" fillId="0" borderId="0" xfId="0" applyNumberFormat="1" applyFill="1"/>
    <xf numFmtId="2" fontId="0" fillId="2" borderId="0" xfId="0" applyNumberFormat="1" applyFill="1"/>
    <xf numFmtId="2" fontId="0" fillId="2" borderId="0" xfId="0" applyNumberFormat="1" applyFill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Grafico2linee!$E$9</c:f>
              <c:strCache>
                <c:ptCount val="1"/>
                <c:pt idx="0">
                  <c:v>No-risk</c:v>
                </c:pt>
              </c:strCache>
            </c:strRef>
          </c:tx>
          <c:invertIfNegative val="0"/>
          <c:cat>
            <c:numRef>
              <c:f>Grafico2linee!$F$8:$J$8</c:f>
              <c:numCache>
                <c:formatCode>General</c:formatCode>
                <c:ptCount val="5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 formatCode="0">
                  <c:v>2010</c:v>
                </c:pt>
                <c:pt idx="4" formatCode="0">
                  <c:v>2011</c:v>
                </c:pt>
              </c:numCache>
            </c:numRef>
          </c:cat>
          <c:val>
            <c:numRef>
              <c:f>Grafico2linee!$F$9:$J$9</c:f>
              <c:numCache>
                <c:formatCode>General</c:formatCode>
                <c:ptCount val="5"/>
                <c:pt idx="0">
                  <c:v>36557</c:v>
                </c:pt>
                <c:pt idx="1">
                  <c:v>49731</c:v>
                </c:pt>
                <c:pt idx="2">
                  <c:v>56486</c:v>
                </c:pt>
                <c:pt idx="3">
                  <c:v>63847</c:v>
                </c:pt>
                <c:pt idx="4">
                  <c:v>66058</c:v>
                </c:pt>
              </c:numCache>
            </c:numRef>
          </c:val>
        </c:ser>
        <c:ser>
          <c:idx val="1"/>
          <c:order val="1"/>
          <c:tx>
            <c:strRef>
              <c:f>Grafico2linee!$E$10</c:f>
              <c:strCache>
                <c:ptCount val="1"/>
                <c:pt idx="0">
                  <c:v>Balanced</c:v>
                </c:pt>
              </c:strCache>
            </c:strRef>
          </c:tx>
          <c:invertIfNegative val="0"/>
          <c:cat>
            <c:numRef>
              <c:f>Grafico2linee!$F$8:$J$8</c:f>
              <c:numCache>
                <c:formatCode>General</c:formatCode>
                <c:ptCount val="5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 formatCode="0">
                  <c:v>2010</c:v>
                </c:pt>
                <c:pt idx="4" formatCode="0">
                  <c:v>2011</c:v>
                </c:pt>
              </c:numCache>
            </c:numRef>
          </c:cat>
          <c:val>
            <c:numRef>
              <c:f>Grafico2linee!$F$10:$J$10</c:f>
              <c:numCache>
                <c:formatCode>General</c:formatCode>
                <c:ptCount val="5"/>
                <c:pt idx="0">
                  <c:v>125281</c:v>
                </c:pt>
                <c:pt idx="1">
                  <c:v>146529</c:v>
                </c:pt>
                <c:pt idx="2">
                  <c:v>140894</c:v>
                </c:pt>
                <c:pt idx="3">
                  <c:v>135852</c:v>
                </c:pt>
                <c:pt idx="4">
                  <c:v>131559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466944"/>
        <c:axId val="44468480"/>
      </c:barChart>
      <c:catAx>
        <c:axId val="444669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4468480"/>
        <c:crosses val="autoZero"/>
        <c:auto val="1"/>
        <c:lblAlgn val="ctr"/>
        <c:lblOffset val="100"/>
        <c:noMultiLvlLbl val="0"/>
      </c:catAx>
      <c:valAx>
        <c:axId val="4446848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446694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Grafico5linee!$F$7</c:f>
              <c:strCache>
                <c:ptCount val="1"/>
                <c:pt idx="0">
                  <c:v>No-risk</c:v>
                </c:pt>
              </c:strCache>
            </c:strRef>
          </c:tx>
          <c:invertIfNegative val="0"/>
          <c:cat>
            <c:numRef>
              <c:f>Grafico5linee!$G$6:$K$6</c:f>
              <c:numCache>
                <c:formatCode>General</c:formatCode>
                <c:ptCount val="5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</c:numCache>
            </c:numRef>
          </c:cat>
          <c:val>
            <c:numRef>
              <c:f>Grafico5linee!$G$7:$K$7</c:f>
              <c:numCache>
                <c:formatCode>General</c:formatCode>
                <c:ptCount val="5"/>
                <c:pt idx="0">
                  <c:v>2832</c:v>
                </c:pt>
                <c:pt idx="1">
                  <c:v>2459</c:v>
                </c:pt>
                <c:pt idx="2">
                  <c:v>2079</c:v>
                </c:pt>
                <c:pt idx="3">
                  <c:v>1929</c:v>
                </c:pt>
                <c:pt idx="4">
                  <c:v>2365</c:v>
                </c:pt>
              </c:numCache>
            </c:numRef>
          </c:val>
        </c:ser>
        <c:ser>
          <c:idx val="1"/>
          <c:order val="1"/>
          <c:tx>
            <c:strRef>
              <c:f>Grafico5linee!$F$8</c:f>
              <c:strCache>
                <c:ptCount val="1"/>
                <c:pt idx="0">
                  <c:v>Very low risk</c:v>
                </c:pt>
              </c:strCache>
            </c:strRef>
          </c:tx>
          <c:invertIfNegative val="0"/>
          <c:cat>
            <c:numRef>
              <c:f>Grafico5linee!$G$6:$K$6</c:f>
              <c:numCache>
                <c:formatCode>General</c:formatCode>
                <c:ptCount val="5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</c:numCache>
            </c:numRef>
          </c:cat>
          <c:val>
            <c:numRef>
              <c:f>Grafico5linee!$G$8:$K$8</c:f>
              <c:numCache>
                <c:formatCode>General</c:formatCode>
                <c:ptCount val="5"/>
                <c:pt idx="0">
                  <c:v>3474</c:v>
                </c:pt>
                <c:pt idx="1">
                  <c:v>4247</c:v>
                </c:pt>
                <c:pt idx="2">
                  <c:v>4372</c:v>
                </c:pt>
                <c:pt idx="3">
                  <c:v>4347</c:v>
                </c:pt>
                <c:pt idx="4">
                  <c:v>4489</c:v>
                </c:pt>
              </c:numCache>
            </c:numRef>
          </c:val>
        </c:ser>
        <c:ser>
          <c:idx val="2"/>
          <c:order val="2"/>
          <c:tx>
            <c:strRef>
              <c:f>Grafico5linee!$F$9</c:f>
              <c:strCache>
                <c:ptCount val="1"/>
                <c:pt idx="0">
                  <c:v>Low risk</c:v>
                </c:pt>
              </c:strCache>
            </c:strRef>
          </c:tx>
          <c:invertIfNegative val="0"/>
          <c:cat>
            <c:numRef>
              <c:f>Grafico5linee!$G$6:$K$6</c:f>
              <c:numCache>
                <c:formatCode>General</c:formatCode>
                <c:ptCount val="5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</c:numCache>
            </c:numRef>
          </c:cat>
          <c:val>
            <c:numRef>
              <c:f>Grafico5linee!$G$9:$K$9</c:f>
              <c:numCache>
                <c:formatCode>General</c:formatCode>
                <c:ptCount val="5"/>
                <c:pt idx="0">
                  <c:v>44830</c:v>
                </c:pt>
                <c:pt idx="1">
                  <c:v>45337</c:v>
                </c:pt>
                <c:pt idx="2">
                  <c:v>45478</c:v>
                </c:pt>
                <c:pt idx="3">
                  <c:v>43367</c:v>
                </c:pt>
                <c:pt idx="4">
                  <c:v>42162</c:v>
                </c:pt>
              </c:numCache>
            </c:numRef>
          </c:val>
        </c:ser>
        <c:ser>
          <c:idx val="3"/>
          <c:order val="3"/>
          <c:tx>
            <c:strRef>
              <c:f>Grafico5linee!$F$10</c:f>
              <c:strCache>
                <c:ptCount val="1"/>
                <c:pt idx="0">
                  <c:v>Balanced</c:v>
                </c:pt>
              </c:strCache>
            </c:strRef>
          </c:tx>
          <c:invertIfNegative val="0"/>
          <c:cat>
            <c:numRef>
              <c:f>Grafico5linee!$G$6:$K$6</c:f>
              <c:numCache>
                <c:formatCode>General</c:formatCode>
                <c:ptCount val="5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</c:numCache>
            </c:numRef>
          </c:cat>
          <c:val>
            <c:numRef>
              <c:f>Grafico5linee!$G$10:$K$10</c:f>
              <c:numCache>
                <c:formatCode>General</c:formatCode>
                <c:ptCount val="5"/>
                <c:pt idx="0">
                  <c:v>10092</c:v>
                </c:pt>
                <c:pt idx="1">
                  <c:v>10974</c:v>
                </c:pt>
                <c:pt idx="2">
                  <c:v>10140</c:v>
                </c:pt>
                <c:pt idx="3">
                  <c:v>9938</c:v>
                </c:pt>
                <c:pt idx="4">
                  <c:v>9806</c:v>
                </c:pt>
              </c:numCache>
            </c:numRef>
          </c:val>
        </c:ser>
        <c:ser>
          <c:idx val="4"/>
          <c:order val="4"/>
          <c:tx>
            <c:strRef>
              <c:f>Grafico5linee!$F$11</c:f>
              <c:strCache>
                <c:ptCount val="1"/>
                <c:pt idx="0">
                  <c:v>Growth</c:v>
                </c:pt>
              </c:strCache>
            </c:strRef>
          </c:tx>
          <c:invertIfNegative val="0"/>
          <c:cat>
            <c:numRef>
              <c:f>Grafico5linee!$G$6:$K$6</c:f>
              <c:numCache>
                <c:formatCode>General</c:formatCode>
                <c:ptCount val="5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</c:numCache>
            </c:numRef>
          </c:cat>
          <c:val>
            <c:numRef>
              <c:f>Grafico5linee!$G$11:$K$11</c:f>
              <c:numCache>
                <c:formatCode>General</c:formatCode>
                <c:ptCount val="5"/>
                <c:pt idx="0">
                  <c:v>5842</c:v>
                </c:pt>
                <c:pt idx="1">
                  <c:v>4885</c:v>
                </c:pt>
                <c:pt idx="2">
                  <c:v>4880</c:v>
                </c:pt>
                <c:pt idx="3">
                  <c:v>4742</c:v>
                </c:pt>
                <c:pt idx="4">
                  <c:v>4684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159360"/>
        <c:axId val="46160896"/>
      </c:barChart>
      <c:catAx>
        <c:axId val="461593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6160896"/>
        <c:crosses val="autoZero"/>
        <c:auto val="1"/>
        <c:lblAlgn val="ctr"/>
        <c:lblOffset val="100"/>
        <c:noMultiLvlLbl val="0"/>
      </c:catAx>
      <c:valAx>
        <c:axId val="4616089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615936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Grafico5linee!$F$17</c:f>
              <c:strCache>
                <c:ptCount val="1"/>
                <c:pt idx="0">
                  <c:v>No-risk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</c:spPr>
          <c:invertIfNegative val="0"/>
          <c:cat>
            <c:numRef>
              <c:f>Grafico5linee!$G$16:$K$16</c:f>
              <c:numCache>
                <c:formatCode>General</c:formatCode>
                <c:ptCount val="5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</c:numCache>
            </c:numRef>
          </c:cat>
          <c:val>
            <c:numRef>
              <c:f>Grafico5linee!$G$17:$K$17</c:f>
              <c:numCache>
                <c:formatCode>0.00</c:formatCode>
                <c:ptCount val="5"/>
                <c:pt idx="0">
                  <c:v>0.09</c:v>
                </c:pt>
                <c:pt idx="1">
                  <c:v>7.0000000000000007E-2</c:v>
                </c:pt>
                <c:pt idx="2">
                  <c:v>0.08</c:v>
                </c:pt>
                <c:pt idx="3">
                  <c:v>0.08</c:v>
                </c:pt>
                <c:pt idx="4">
                  <c:v>0.08</c:v>
                </c:pt>
              </c:numCache>
            </c:numRef>
          </c:val>
        </c:ser>
        <c:ser>
          <c:idx val="1"/>
          <c:order val="1"/>
          <c:tx>
            <c:strRef>
              <c:f>Grafico5linee!$F$18</c:f>
              <c:strCache>
                <c:ptCount val="1"/>
                <c:pt idx="0">
                  <c:v>Very low risk</c:v>
                </c:pt>
              </c:strCache>
            </c:strRef>
          </c:tx>
          <c:spPr>
            <a:pattFill prst="dkUpDiag">
              <a:fgClr>
                <a:schemeClr val="bg1">
                  <a:lumMod val="75000"/>
                </a:schemeClr>
              </a:fgClr>
              <a:bgClr>
                <a:schemeClr val="bg1"/>
              </a:bgClr>
            </a:pattFill>
          </c:spPr>
          <c:invertIfNegative val="0"/>
          <c:cat>
            <c:numRef>
              <c:f>Grafico5linee!$G$16:$K$16</c:f>
              <c:numCache>
                <c:formatCode>General</c:formatCode>
                <c:ptCount val="5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</c:numCache>
            </c:numRef>
          </c:cat>
          <c:val>
            <c:numRef>
              <c:f>Grafico5linee!$G$18:$K$18</c:f>
              <c:numCache>
                <c:formatCode>0.00</c:formatCode>
                <c:ptCount val="5"/>
                <c:pt idx="0">
                  <c:v>0.1</c:v>
                </c:pt>
                <c:pt idx="1">
                  <c:v>0.1</c:v>
                </c:pt>
                <c:pt idx="2">
                  <c:v>0.1</c:v>
                </c:pt>
                <c:pt idx="3">
                  <c:v>0.12</c:v>
                </c:pt>
                <c:pt idx="4">
                  <c:v>0.12</c:v>
                </c:pt>
              </c:numCache>
            </c:numRef>
          </c:val>
        </c:ser>
        <c:ser>
          <c:idx val="2"/>
          <c:order val="2"/>
          <c:tx>
            <c:strRef>
              <c:f>Grafico5linee!$F$19</c:f>
              <c:strCache>
                <c:ptCount val="1"/>
                <c:pt idx="0">
                  <c:v>Low risk</c:v>
                </c:pt>
              </c:strCache>
            </c:strRef>
          </c:tx>
          <c:spPr>
            <a:pattFill prst="pct75">
              <a:fgClr>
                <a:schemeClr val="bg1">
                  <a:lumMod val="75000"/>
                </a:schemeClr>
              </a:fgClr>
              <a:bgClr>
                <a:schemeClr val="bg1"/>
              </a:bgClr>
            </a:pattFill>
          </c:spPr>
          <c:invertIfNegative val="0"/>
          <c:cat>
            <c:numRef>
              <c:f>Grafico5linee!$G$16:$K$16</c:f>
              <c:numCache>
                <c:formatCode>General</c:formatCode>
                <c:ptCount val="5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</c:numCache>
            </c:numRef>
          </c:cat>
          <c:val>
            <c:numRef>
              <c:f>Grafico5linee!$G$19:$K$19</c:f>
              <c:numCache>
                <c:formatCode>0.00</c:formatCode>
                <c:ptCount val="5"/>
                <c:pt idx="0">
                  <c:v>0.66</c:v>
                </c:pt>
                <c:pt idx="1">
                  <c:v>0.66</c:v>
                </c:pt>
                <c:pt idx="2">
                  <c:v>0.55000000000000004</c:v>
                </c:pt>
                <c:pt idx="3">
                  <c:v>0.5</c:v>
                </c:pt>
                <c:pt idx="4">
                  <c:v>0.5</c:v>
                </c:pt>
              </c:numCache>
            </c:numRef>
          </c:val>
        </c:ser>
        <c:ser>
          <c:idx val="3"/>
          <c:order val="3"/>
          <c:tx>
            <c:strRef>
              <c:f>Grafico5linee!$F$20</c:f>
              <c:strCache>
                <c:ptCount val="1"/>
                <c:pt idx="0">
                  <c:v>Balanced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</c:spPr>
          <c:invertIfNegative val="0"/>
          <c:cat>
            <c:numRef>
              <c:f>Grafico5linee!$G$16:$K$16</c:f>
              <c:numCache>
                <c:formatCode>General</c:formatCode>
                <c:ptCount val="5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</c:numCache>
            </c:numRef>
          </c:cat>
          <c:val>
            <c:numRef>
              <c:f>Grafico5linee!$G$20:$K$20</c:f>
              <c:numCache>
                <c:formatCode>0.00</c:formatCode>
                <c:ptCount val="5"/>
                <c:pt idx="0">
                  <c:v>0.2</c:v>
                </c:pt>
                <c:pt idx="1">
                  <c:v>0.2</c:v>
                </c:pt>
                <c:pt idx="2">
                  <c:v>0.22</c:v>
                </c:pt>
                <c:pt idx="3">
                  <c:v>0.18</c:v>
                </c:pt>
                <c:pt idx="4">
                  <c:v>0.18</c:v>
                </c:pt>
              </c:numCache>
            </c:numRef>
          </c:val>
        </c:ser>
        <c:ser>
          <c:idx val="4"/>
          <c:order val="4"/>
          <c:tx>
            <c:strRef>
              <c:f>Grafico5linee!$F$21</c:f>
              <c:strCache>
                <c:ptCount val="1"/>
                <c:pt idx="0">
                  <c:v>Growth</c:v>
                </c:pt>
              </c:strCache>
            </c:strRef>
          </c:tx>
          <c:spPr>
            <a:solidFill>
              <a:schemeClr val="tx1"/>
            </a:solidFill>
          </c:spPr>
          <c:invertIfNegative val="0"/>
          <c:cat>
            <c:numRef>
              <c:f>Grafico5linee!$G$16:$K$16</c:f>
              <c:numCache>
                <c:formatCode>General</c:formatCode>
                <c:ptCount val="5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</c:numCache>
            </c:numRef>
          </c:cat>
          <c:val>
            <c:numRef>
              <c:f>Grafico5linee!$G$21:$K$21</c:f>
              <c:numCache>
                <c:formatCode>0.00</c:formatCode>
                <c:ptCount val="5"/>
                <c:pt idx="0">
                  <c:v>0.04</c:v>
                </c:pt>
                <c:pt idx="1">
                  <c:v>0.04</c:v>
                </c:pt>
                <c:pt idx="2">
                  <c:v>0.02</c:v>
                </c:pt>
                <c:pt idx="3">
                  <c:v>0.02</c:v>
                </c:pt>
                <c:pt idx="4">
                  <c:v>0.02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188416"/>
        <c:axId val="46194688"/>
      </c:barChart>
      <c:catAx>
        <c:axId val="461884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Year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46194688"/>
        <c:crosses val="autoZero"/>
        <c:auto val="1"/>
        <c:lblAlgn val="ctr"/>
        <c:lblOffset val="100"/>
        <c:noMultiLvlLbl val="0"/>
      </c:catAx>
      <c:valAx>
        <c:axId val="4619468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Frequency</a:t>
                </a:r>
              </a:p>
            </c:rich>
          </c:tx>
          <c:layout/>
          <c:overlay val="0"/>
        </c:title>
        <c:numFmt formatCode="0.00" sourceLinked="1"/>
        <c:majorTickMark val="out"/>
        <c:minorTickMark val="none"/>
        <c:tickLblPos val="nextTo"/>
        <c:crossAx val="4618841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/>
            </a:pPr>
            <a:r>
              <a:rPr lang="en-US" sz="1050"/>
              <a:t>Panel D</a:t>
            </a:r>
          </a:p>
          <a:p>
            <a:pPr>
              <a:defRPr sz="1050"/>
            </a:pPr>
            <a:r>
              <a:rPr lang="en-US" sz="1050"/>
              <a:t>Subscribers distribution: 5 investment lines 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Grafico5linee!$L$17:$L$21</c:f>
              <c:strCache>
                <c:ptCount val="5"/>
                <c:pt idx="0">
                  <c:v>No-risk</c:v>
                </c:pt>
                <c:pt idx="1">
                  <c:v>Very low risk</c:v>
                </c:pt>
                <c:pt idx="2">
                  <c:v>Low risk</c:v>
                </c:pt>
                <c:pt idx="3">
                  <c:v>Balanced</c:v>
                </c:pt>
                <c:pt idx="4">
                  <c:v>Growth</c:v>
                </c:pt>
              </c:strCache>
            </c:strRef>
          </c:cat>
          <c:val>
            <c:numRef>
              <c:f>Grafico5linee!$M$17:$M$21</c:f>
              <c:numCache>
                <c:formatCode>0.00</c:formatCode>
                <c:ptCount val="5"/>
                <c:pt idx="0">
                  <c:v>0.08</c:v>
                </c:pt>
                <c:pt idx="1">
                  <c:v>0.10800000000000001</c:v>
                </c:pt>
                <c:pt idx="2">
                  <c:v>0.57400000000000007</c:v>
                </c:pt>
                <c:pt idx="3">
                  <c:v>0.19600000000000001</c:v>
                </c:pt>
                <c:pt idx="4">
                  <c:v>2.8000000000000004E-2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493696"/>
        <c:axId val="46495616"/>
      </c:barChart>
      <c:catAx>
        <c:axId val="464936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Investment line type</a:t>
                </a:r>
              </a:p>
            </c:rich>
          </c:tx>
          <c:layout/>
          <c:overlay val="0"/>
        </c:title>
        <c:majorTickMark val="none"/>
        <c:minorTickMark val="none"/>
        <c:tickLblPos val="nextTo"/>
        <c:crossAx val="46495616"/>
        <c:crosses val="autoZero"/>
        <c:auto val="1"/>
        <c:lblAlgn val="ctr"/>
        <c:lblOffset val="100"/>
        <c:noMultiLvlLbl val="0"/>
      </c:catAx>
      <c:valAx>
        <c:axId val="46495616"/>
        <c:scaling>
          <c:orientation val="minMax"/>
          <c:max val="0.60000000000000009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Frequency</a:t>
                </a:r>
              </a:p>
            </c:rich>
          </c:tx>
          <c:layout/>
          <c:overlay val="0"/>
        </c:title>
        <c:numFmt formatCode="0.00" sourceLinked="1"/>
        <c:majorTickMark val="out"/>
        <c:minorTickMark val="none"/>
        <c:tickLblPos val="nextTo"/>
        <c:crossAx val="4649369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Grafico2linee!$E$16</c:f>
              <c:strCache>
                <c:ptCount val="1"/>
                <c:pt idx="0">
                  <c:v>No-risk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</c:spPr>
          <c:invertIfNegative val="0"/>
          <c:cat>
            <c:numRef>
              <c:f>Grafico2linee!$F$15:$J$15</c:f>
              <c:numCache>
                <c:formatCode>General</c:formatCode>
                <c:ptCount val="5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 formatCode="0">
                  <c:v>2010</c:v>
                </c:pt>
                <c:pt idx="4" formatCode="0">
                  <c:v>2011</c:v>
                </c:pt>
              </c:numCache>
            </c:numRef>
          </c:cat>
          <c:val>
            <c:numRef>
              <c:f>Grafico2linee!$F$16:$J$16</c:f>
              <c:numCache>
                <c:formatCode>0.00</c:formatCode>
                <c:ptCount val="5"/>
                <c:pt idx="0">
                  <c:v>0.22588638020736787</c:v>
                </c:pt>
                <c:pt idx="1">
                  <c:v>0.25339345765820848</c:v>
                </c:pt>
                <c:pt idx="2">
                  <c:v>0.28617894416860878</c:v>
                </c:pt>
                <c:pt idx="3">
                  <c:v>0.31971617284012438</c:v>
                </c:pt>
                <c:pt idx="4">
                  <c:v>0.33427286114048893</c:v>
                </c:pt>
              </c:numCache>
            </c:numRef>
          </c:val>
        </c:ser>
        <c:ser>
          <c:idx val="1"/>
          <c:order val="1"/>
          <c:tx>
            <c:strRef>
              <c:f>Grafico2linee!$E$17</c:f>
              <c:strCache>
                <c:ptCount val="1"/>
                <c:pt idx="0">
                  <c:v>Balanced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</c:spPr>
          <c:invertIfNegative val="0"/>
          <c:cat>
            <c:numRef>
              <c:f>Grafico2linee!$F$15:$J$15</c:f>
              <c:numCache>
                <c:formatCode>General</c:formatCode>
                <c:ptCount val="5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 formatCode="0">
                  <c:v>2010</c:v>
                </c:pt>
                <c:pt idx="4" formatCode="0">
                  <c:v>2011</c:v>
                </c:pt>
              </c:numCache>
            </c:numRef>
          </c:cat>
          <c:val>
            <c:numRef>
              <c:f>Grafico2linee!$F$17:$J$17</c:f>
              <c:numCache>
                <c:formatCode>0.00</c:formatCode>
                <c:ptCount val="5"/>
                <c:pt idx="0">
                  <c:v>0.77411361979263216</c:v>
                </c:pt>
                <c:pt idx="1">
                  <c:v>0.74660654234179147</c:v>
                </c:pt>
                <c:pt idx="2">
                  <c:v>0.71382105583139122</c:v>
                </c:pt>
                <c:pt idx="3">
                  <c:v>0.68028382715987556</c:v>
                </c:pt>
                <c:pt idx="4">
                  <c:v>0.66572713885951107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489344"/>
        <c:axId val="44618496"/>
      </c:barChart>
      <c:catAx>
        <c:axId val="444893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it-IT"/>
                  <a:t>Year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44618496"/>
        <c:crosses val="autoZero"/>
        <c:auto val="1"/>
        <c:lblAlgn val="ctr"/>
        <c:lblOffset val="100"/>
        <c:noMultiLvlLbl val="0"/>
      </c:catAx>
      <c:valAx>
        <c:axId val="4461849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/>
                  <a:t>Frequency</a:t>
                </a:r>
              </a:p>
            </c:rich>
          </c:tx>
          <c:layout/>
          <c:overlay val="0"/>
        </c:title>
        <c:numFmt formatCode="0.00" sourceLinked="1"/>
        <c:majorTickMark val="out"/>
        <c:minorTickMark val="none"/>
        <c:tickLblPos val="nextTo"/>
        <c:crossAx val="4448934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/>
            </a:pPr>
            <a:r>
              <a:rPr lang="it-IT" sz="1050"/>
              <a:t>Panel A</a:t>
            </a:r>
          </a:p>
          <a:p>
            <a:pPr>
              <a:defRPr sz="1050"/>
            </a:pPr>
            <a:r>
              <a:rPr lang="it-IT" sz="1050"/>
              <a:t>Subscribres distribution: 2 investment lines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Grafico2linee!$K$16:$K$17</c:f>
              <c:strCache>
                <c:ptCount val="2"/>
                <c:pt idx="0">
                  <c:v>No-risk</c:v>
                </c:pt>
                <c:pt idx="1">
                  <c:v>Balanced</c:v>
                </c:pt>
              </c:strCache>
            </c:strRef>
          </c:cat>
          <c:val>
            <c:numRef>
              <c:f>Grafico2linee!$L$16:$L$17</c:f>
              <c:numCache>
                <c:formatCode>0.00</c:formatCode>
                <c:ptCount val="2"/>
                <c:pt idx="0">
                  <c:v>0.28388956320295966</c:v>
                </c:pt>
                <c:pt idx="1">
                  <c:v>0.71611043679704023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708608"/>
        <c:axId val="44710528"/>
      </c:barChart>
      <c:catAx>
        <c:axId val="447086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Investment line type</a:t>
                </a:r>
              </a:p>
            </c:rich>
          </c:tx>
          <c:layout/>
          <c:overlay val="0"/>
        </c:title>
        <c:majorTickMark val="none"/>
        <c:minorTickMark val="none"/>
        <c:tickLblPos val="nextTo"/>
        <c:crossAx val="44710528"/>
        <c:crosses val="autoZero"/>
        <c:auto val="1"/>
        <c:lblAlgn val="ctr"/>
        <c:lblOffset val="100"/>
        <c:noMultiLvlLbl val="0"/>
      </c:catAx>
      <c:valAx>
        <c:axId val="4471052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Frequency</a:t>
                </a:r>
              </a:p>
            </c:rich>
          </c:tx>
          <c:layout/>
          <c:overlay val="0"/>
        </c:title>
        <c:numFmt formatCode="0.00" sourceLinked="1"/>
        <c:majorTickMark val="out"/>
        <c:minorTickMark val="none"/>
        <c:tickLblPos val="nextTo"/>
        <c:crossAx val="4470860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Grafico3linee!$F$9</c:f>
              <c:strCache>
                <c:ptCount val="1"/>
                <c:pt idx="0">
                  <c:v>No-risk</c:v>
                </c:pt>
              </c:strCache>
            </c:strRef>
          </c:tx>
          <c:invertIfNegative val="0"/>
          <c:cat>
            <c:numRef>
              <c:f>Grafico3linee!$G$8:$K$8</c:f>
              <c:numCache>
                <c:formatCode>General</c:formatCode>
                <c:ptCount val="5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</c:numCache>
            </c:numRef>
          </c:cat>
          <c:val>
            <c:numRef>
              <c:f>Grafico3linee!$G$9:$K$9</c:f>
              <c:numCache>
                <c:formatCode>General</c:formatCode>
                <c:ptCount val="5"/>
                <c:pt idx="0">
                  <c:v>62180</c:v>
                </c:pt>
                <c:pt idx="1">
                  <c:v>61429</c:v>
                </c:pt>
                <c:pt idx="2">
                  <c:v>72971</c:v>
                </c:pt>
                <c:pt idx="3">
                  <c:v>76204</c:v>
                </c:pt>
                <c:pt idx="4">
                  <c:v>77878</c:v>
                </c:pt>
              </c:numCache>
            </c:numRef>
          </c:val>
        </c:ser>
        <c:ser>
          <c:idx val="1"/>
          <c:order val="1"/>
          <c:tx>
            <c:strRef>
              <c:f>Grafico3linee!$F$10</c:f>
              <c:strCache>
                <c:ptCount val="1"/>
                <c:pt idx="0">
                  <c:v>Balanced</c:v>
                </c:pt>
              </c:strCache>
            </c:strRef>
          </c:tx>
          <c:invertIfNegative val="0"/>
          <c:cat>
            <c:numRef>
              <c:f>Grafico3linee!$G$8:$K$8</c:f>
              <c:numCache>
                <c:formatCode>General</c:formatCode>
                <c:ptCount val="5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</c:numCache>
            </c:numRef>
          </c:cat>
          <c:val>
            <c:numRef>
              <c:f>Grafico3linee!$G$10:$K$10</c:f>
              <c:numCache>
                <c:formatCode>General</c:formatCode>
                <c:ptCount val="5"/>
                <c:pt idx="0">
                  <c:v>516842</c:v>
                </c:pt>
                <c:pt idx="1">
                  <c:v>510599</c:v>
                </c:pt>
                <c:pt idx="2">
                  <c:v>491381</c:v>
                </c:pt>
                <c:pt idx="3">
                  <c:v>475660</c:v>
                </c:pt>
                <c:pt idx="4">
                  <c:v>340864</c:v>
                </c:pt>
              </c:numCache>
            </c:numRef>
          </c:val>
        </c:ser>
        <c:ser>
          <c:idx val="2"/>
          <c:order val="2"/>
          <c:tx>
            <c:strRef>
              <c:f>Grafico3linee!$F$11</c:f>
              <c:strCache>
                <c:ptCount val="1"/>
                <c:pt idx="0">
                  <c:v>Growth</c:v>
                </c:pt>
              </c:strCache>
            </c:strRef>
          </c:tx>
          <c:invertIfNegative val="0"/>
          <c:cat>
            <c:numRef>
              <c:f>Grafico3linee!$G$8:$K$8</c:f>
              <c:numCache>
                <c:formatCode>General</c:formatCode>
                <c:ptCount val="5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</c:numCache>
            </c:numRef>
          </c:cat>
          <c:val>
            <c:numRef>
              <c:f>Grafico3linee!$G$11:$K$11</c:f>
              <c:numCache>
                <c:formatCode>General</c:formatCode>
                <c:ptCount val="5"/>
                <c:pt idx="0">
                  <c:v>77825</c:v>
                </c:pt>
                <c:pt idx="1">
                  <c:v>81030</c:v>
                </c:pt>
                <c:pt idx="2">
                  <c:v>81432</c:v>
                </c:pt>
                <c:pt idx="3">
                  <c:v>79040</c:v>
                </c:pt>
                <c:pt idx="4">
                  <c:v>76330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962560"/>
        <c:axId val="44964096"/>
      </c:barChart>
      <c:catAx>
        <c:axId val="449625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4964096"/>
        <c:crosses val="autoZero"/>
        <c:auto val="1"/>
        <c:lblAlgn val="ctr"/>
        <c:lblOffset val="100"/>
        <c:noMultiLvlLbl val="0"/>
      </c:catAx>
      <c:valAx>
        <c:axId val="4496409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496256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Grafico3linee!$F$17</c:f>
              <c:strCache>
                <c:ptCount val="1"/>
                <c:pt idx="0">
                  <c:v>No-risk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</c:spPr>
          <c:invertIfNegative val="0"/>
          <c:cat>
            <c:numRef>
              <c:f>Grafico3linee!$G$16:$K$16</c:f>
              <c:numCache>
                <c:formatCode>General</c:formatCode>
                <c:ptCount val="5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</c:numCache>
            </c:numRef>
          </c:cat>
          <c:val>
            <c:numRef>
              <c:f>Grafico3linee!$G$17:$K$17</c:f>
              <c:numCache>
                <c:formatCode>0.00</c:formatCode>
                <c:ptCount val="5"/>
                <c:pt idx="0">
                  <c:v>9.4664358671045154E-2</c:v>
                </c:pt>
                <c:pt idx="1">
                  <c:v>9.4063620689127159E-2</c:v>
                </c:pt>
                <c:pt idx="2">
                  <c:v>0.11299598627404829</c:v>
                </c:pt>
                <c:pt idx="3">
                  <c:v>0.12078541267768154</c:v>
                </c:pt>
                <c:pt idx="4">
                  <c:v>0.15730641199663886</c:v>
                </c:pt>
              </c:numCache>
            </c:numRef>
          </c:val>
        </c:ser>
        <c:ser>
          <c:idx val="1"/>
          <c:order val="1"/>
          <c:tx>
            <c:strRef>
              <c:f>Grafico3linee!$F$18</c:f>
              <c:strCache>
                <c:ptCount val="1"/>
                <c:pt idx="0">
                  <c:v>Balanced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</c:spPr>
          <c:invertIfNegative val="0"/>
          <c:cat>
            <c:numRef>
              <c:f>Grafico3linee!$G$16:$K$16</c:f>
              <c:numCache>
                <c:formatCode>General</c:formatCode>
                <c:ptCount val="5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</c:numCache>
            </c:numRef>
          </c:cat>
          <c:val>
            <c:numRef>
              <c:f>Grafico3linee!$G$18:$K$18</c:f>
              <c:numCache>
                <c:formatCode>0.00</c:formatCode>
                <c:ptCount val="5"/>
                <c:pt idx="0">
                  <c:v>0.78685295053490389</c:v>
                </c:pt>
                <c:pt idx="1">
                  <c:v>0.78185857917673474</c:v>
                </c:pt>
                <c:pt idx="2">
                  <c:v>0.760906123409685</c:v>
                </c:pt>
                <c:pt idx="3">
                  <c:v>0.75393403750808363</c:v>
                </c:pt>
                <c:pt idx="4">
                  <c:v>0.68851399392411605</c:v>
                </c:pt>
              </c:numCache>
            </c:numRef>
          </c:val>
        </c:ser>
        <c:ser>
          <c:idx val="2"/>
          <c:order val="2"/>
          <c:tx>
            <c:strRef>
              <c:f>Grafico3linee!$F$19</c:f>
              <c:strCache>
                <c:ptCount val="1"/>
                <c:pt idx="0">
                  <c:v>Growth</c:v>
                </c:pt>
              </c:strCache>
            </c:strRef>
          </c:tx>
          <c:spPr>
            <a:solidFill>
              <a:schemeClr val="tx1"/>
            </a:solidFill>
          </c:spPr>
          <c:invertIfNegative val="0"/>
          <c:cat>
            <c:numRef>
              <c:f>Grafico3linee!$G$16:$K$16</c:f>
              <c:numCache>
                <c:formatCode>General</c:formatCode>
                <c:ptCount val="5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</c:numCache>
            </c:numRef>
          </c:cat>
          <c:val>
            <c:numRef>
              <c:f>Grafico3linee!$G$19:$K$19</c:f>
              <c:numCache>
                <c:formatCode>0.00</c:formatCode>
                <c:ptCount val="5"/>
                <c:pt idx="0">
                  <c:v>0.11848269079405098</c:v>
                </c:pt>
                <c:pt idx="1">
                  <c:v>0.12407780013413816</c:v>
                </c:pt>
                <c:pt idx="2">
                  <c:v>0.12609789031626675</c:v>
                </c:pt>
                <c:pt idx="3">
                  <c:v>0.12528054981423481</c:v>
                </c:pt>
                <c:pt idx="4">
                  <c:v>0.15417959407924503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999808"/>
        <c:axId val="45001728"/>
      </c:barChart>
      <c:catAx>
        <c:axId val="449998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Year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45001728"/>
        <c:crosses val="autoZero"/>
        <c:auto val="1"/>
        <c:lblAlgn val="ctr"/>
        <c:lblOffset val="100"/>
        <c:noMultiLvlLbl val="0"/>
      </c:catAx>
      <c:valAx>
        <c:axId val="4500172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/>
                  <a:t>Frequency</a:t>
                </a:r>
              </a:p>
            </c:rich>
          </c:tx>
          <c:layout/>
          <c:overlay val="0"/>
        </c:title>
        <c:numFmt formatCode="0.00" sourceLinked="1"/>
        <c:majorTickMark val="out"/>
        <c:minorTickMark val="none"/>
        <c:tickLblPos val="nextTo"/>
        <c:crossAx val="4499980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/>
            </a:pPr>
            <a:r>
              <a:rPr lang="en-US" sz="1050"/>
              <a:t>Panel B</a:t>
            </a:r>
          </a:p>
          <a:p>
            <a:pPr>
              <a:defRPr sz="1050"/>
            </a:pPr>
            <a:r>
              <a:rPr lang="en-US" sz="1050"/>
              <a:t>Subscribers distribution: 3 investment line 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Grafico3linee!$L$17:$L$19</c:f>
              <c:strCache>
                <c:ptCount val="3"/>
                <c:pt idx="0">
                  <c:v>No-risk</c:v>
                </c:pt>
                <c:pt idx="1">
                  <c:v>Balanced</c:v>
                </c:pt>
                <c:pt idx="2">
                  <c:v>Growth</c:v>
                </c:pt>
              </c:strCache>
            </c:strRef>
          </c:cat>
          <c:val>
            <c:numRef>
              <c:f>Grafico3linee!$M$17:$M$19</c:f>
              <c:numCache>
                <c:formatCode>0.00</c:formatCode>
                <c:ptCount val="3"/>
                <c:pt idx="0">
                  <c:v>0.1159631580617082</c:v>
                </c:pt>
                <c:pt idx="1">
                  <c:v>0.75441313691070455</c:v>
                </c:pt>
                <c:pt idx="2">
                  <c:v>0.12962370502758716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014016"/>
        <c:axId val="45941888"/>
      </c:barChart>
      <c:catAx>
        <c:axId val="450140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Investment line type</a:t>
                </a:r>
              </a:p>
            </c:rich>
          </c:tx>
          <c:layout/>
          <c:overlay val="0"/>
        </c:title>
        <c:majorTickMark val="none"/>
        <c:minorTickMark val="none"/>
        <c:tickLblPos val="nextTo"/>
        <c:crossAx val="45941888"/>
        <c:crosses val="autoZero"/>
        <c:auto val="1"/>
        <c:lblAlgn val="ctr"/>
        <c:lblOffset val="100"/>
        <c:noMultiLvlLbl val="0"/>
      </c:catAx>
      <c:valAx>
        <c:axId val="4594188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Frequency</a:t>
                </a:r>
              </a:p>
            </c:rich>
          </c:tx>
          <c:layout/>
          <c:overlay val="0"/>
        </c:title>
        <c:numFmt formatCode="0.00" sourceLinked="1"/>
        <c:majorTickMark val="out"/>
        <c:minorTickMark val="none"/>
        <c:tickLblPos val="nextTo"/>
        <c:crossAx val="4501401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Grafico4linee!$F$6</c:f>
              <c:strCache>
                <c:ptCount val="1"/>
                <c:pt idx="0">
                  <c:v>No-risk</c:v>
                </c:pt>
              </c:strCache>
            </c:strRef>
          </c:tx>
          <c:invertIfNegative val="0"/>
          <c:cat>
            <c:numRef>
              <c:f>Grafico4linee!$G$5:$K$5</c:f>
              <c:numCache>
                <c:formatCode>General</c:formatCode>
                <c:ptCount val="5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</c:numCache>
            </c:numRef>
          </c:cat>
          <c:val>
            <c:numRef>
              <c:f>Grafico4linee!$G$6:$K$6</c:f>
              <c:numCache>
                <c:formatCode>General</c:formatCode>
                <c:ptCount val="5"/>
                <c:pt idx="0">
                  <c:v>54115</c:v>
                </c:pt>
                <c:pt idx="1">
                  <c:v>102327</c:v>
                </c:pt>
                <c:pt idx="2">
                  <c:v>110876</c:v>
                </c:pt>
                <c:pt idx="3">
                  <c:v>118255</c:v>
                </c:pt>
                <c:pt idx="4">
                  <c:v>131273</c:v>
                </c:pt>
              </c:numCache>
            </c:numRef>
          </c:val>
        </c:ser>
        <c:ser>
          <c:idx val="1"/>
          <c:order val="1"/>
          <c:tx>
            <c:strRef>
              <c:f>Grafico4linee!$F$7</c:f>
              <c:strCache>
                <c:ptCount val="1"/>
                <c:pt idx="0">
                  <c:v>Low risk</c:v>
                </c:pt>
              </c:strCache>
            </c:strRef>
          </c:tx>
          <c:invertIfNegative val="0"/>
          <c:cat>
            <c:numRef>
              <c:f>Grafico4linee!$G$5:$K$5</c:f>
              <c:numCache>
                <c:formatCode>General</c:formatCode>
                <c:ptCount val="5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</c:numCache>
            </c:numRef>
          </c:cat>
          <c:val>
            <c:numRef>
              <c:f>Grafico4linee!$G$7:$K$7</c:f>
              <c:numCache>
                <c:formatCode>General</c:formatCode>
                <c:ptCount val="5"/>
                <c:pt idx="0">
                  <c:v>208177</c:v>
                </c:pt>
                <c:pt idx="1">
                  <c:v>298074</c:v>
                </c:pt>
                <c:pt idx="2">
                  <c:v>296388</c:v>
                </c:pt>
                <c:pt idx="3">
                  <c:v>289828</c:v>
                </c:pt>
                <c:pt idx="4">
                  <c:v>294620</c:v>
                </c:pt>
              </c:numCache>
            </c:numRef>
          </c:val>
        </c:ser>
        <c:ser>
          <c:idx val="2"/>
          <c:order val="2"/>
          <c:tx>
            <c:strRef>
              <c:f>Grafico4linee!$F$8</c:f>
              <c:strCache>
                <c:ptCount val="1"/>
                <c:pt idx="0">
                  <c:v>Balanced</c:v>
                </c:pt>
              </c:strCache>
            </c:strRef>
          </c:tx>
          <c:invertIfNegative val="0"/>
          <c:cat>
            <c:numRef>
              <c:f>Grafico4linee!$G$5:$K$5</c:f>
              <c:numCache>
                <c:formatCode>General</c:formatCode>
                <c:ptCount val="5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</c:numCache>
            </c:numRef>
          </c:cat>
          <c:val>
            <c:numRef>
              <c:f>Grafico4linee!$G$8:$K$8</c:f>
              <c:numCache>
                <c:formatCode>General</c:formatCode>
                <c:ptCount val="5"/>
                <c:pt idx="0">
                  <c:v>370251</c:v>
                </c:pt>
                <c:pt idx="1">
                  <c:v>419104</c:v>
                </c:pt>
                <c:pt idx="2">
                  <c:v>399422</c:v>
                </c:pt>
                <c:pt idx="3">
                  <c:v>381707</c:v>
                </c:pt>
                <c:pt idx="4">
                  <c:v>367526</c:v>
                </c:pt>
              </c:numCache>
            </c:numRef>
          </c:val>
        </c:ser>
        <c:ser>
          <c:idx val="3"/>
          <c:order val="3"/>
          <c:tx>
            <c:strRef>
              <c:f>Grafico4linee!$F$9</c:f>
              <c:strCache>
                <c:ptCount val="1"/>
                <c:pt idx="0">
                  <c:v>Growth</c:v>
                </c:pt>
              </c:strCache>
            </c:strRef>
          </c:tx>
          <c:invertIfNegative val="0"/>
          <c:cat>
            <c:numRef>
              <c:f>Grafico4linee!$G$5:$K$5</c:f>
              <c:numCache>
                <c:formatCode>General</c:formatCode>
                <c:ptCount val="5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</c:numCache>
            </c:numRef>
          </c:cat>
          <c:val>
            <c:numRef>
              <c:f>Grafico4linee!$G$9:$K$9</c:f>
              <c:numCache>
                <c:formatCode>General</c:formatCode>
                <c:ptCount val="5"/>
                <c:pt idx="0">
                  <c:v>25282</c:v>
                </c:pt>
                <c:pt idx="1">
                  <c:v>25410</c:v>
                </c:pt>
                <c:pt idx="2">
                  <c:v>26144</c:v>
                </c:pt>
                <c:pt idx="3">
                  <c:v>27120</c:v>
                </c:pt>
                <c:pt idx="4">
                  <c:v>28049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127552"/>
        <c:axId val="45129088"/>
      </c:barChart>
      <c:catAx>
        <c:axId val="451275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5129088"/>
        <c:crosses val="autoZero"/>
        <c:auto val="1"/>
        <c:lblAlgn val="ctr"/>
        <c:lblOffset val="100"/>
        <c:noMultiLvlLbl val="0"/>
      </c:catAx>
      <c:valAx>
        <c:axId val="451290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512755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Grafico4linee!$F$15</c:f>
              <c:strCache>
                <c:ptCount val="1"/>
                <c:pt idx="0">
                  <c:v>No-risk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</c:spPr>
          <c:invertIfNegative val="0"/>
          <c:cat>
            <c:numRef>
              <c:f>Grafico4linee!$G$14:$K$14</c:f>
              <c:numCache>
                <c:formatCode>General</c:formatCode>
                <c:ptCount val="5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</c:numCache>
            </c:numRef>
          </c:cat>
          <c:val>
            <c:numRef>
              <c:f>Grafico4linee!$G$15:$K$15</c:f>
              <c:numCache>
                <c:formatCode>0.00</c:formatCode>
                <c:ptCount val="5"/>
                <c:pt idx="0">
                  <c:v>8.2263519933112914E-2</c:v>
                </c:pt>
                <c:pt idx="1">
                  <c:v>0.12110922400478155</c:v>
                </c:pt>
                <c:pt idx="2">
                  <c:v>0.13313161149334199</c:v>
                </c:pt>
                <c:pt idx="3">
                  <c:v>0.14475890857009951</c:v>
                </c:pt>
                <c:pt idx="4">
                  <c:v>0.15980293815462074</c:v>
                </c:pt>
              </c:numCache>
            </c:numRef>
          </c:val>
        </c:ser>
        <c:ser>
          <c:idx val="1"/>
          <c:order val="1"/>
          <c:tx>
            <c:strRef>
              <c:f>Grafico4linee!$F$16</c:f>
              <c:strCache>
                <c:ptCount val="1"/>
                <c:pt idx="0">
                  <c:v>Low risk</c:v>
                </c:pt>
              </c:strCache>
            </c:strRef>
          </c:tx>
          <c:spPr>
            <a:pattFill prst="pct75">
              <a:fgClr>
                <a:schemeClr val="bg1">
                  <a:lumMod val="75000"/>
                </a:schemeClr>
              </a:fgClr>
              <a:bgClr>
                <a:schemeClr val="bg1"/>
              </a:bgClr>
            </a:pattFill>
          </c:spPr>
          <c:invertIfNegative val="0"/>
          <c:cat>
            <c:numRef>
              <c:f>Grafico4linee!$G$14:$K$14</c:f>
              <c:numCache>
                <c:formatCode>General</c:formatCode>
                <c:ptCount val="5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</c:numCache>
            </c:numRef>
          </c:cat>
          <c:val>
            <c:numRef>
              <c:f>Grafico4linee!$G$16:$K$16</c:f>
              <c:numCache>
                <c:formatCode>0.00</c:formatCode>
                <c:ptCount val="5"/>
                <c:pt idx="0">
                  <c:v>0.31646258503401359</c:v>
                </c:pt>
                <c:pt idx="1">
                  <c:v>0.3527857831852908</c:v>
                </c:pt>
                <c:pt idx="2">
                  <c:v>0.3558805518533194</c:v>
                </c:pt>
                <c:pt idx="3">
                  <c:v>0.35478571690883942</c:v>
                </c:pt>
                <c:pt idx="4">
                  <c:v>0.35865061085763533</c:v>
                </c:pt>
              </c:numCache>
            </c:numRef>
          </c:val>
        </c:ser>
        <c:ser>
          <c:idx val="2"/>
          <c:order val="2"/>
          <c:tx>
            <c:strRef>
              <c:f>Grafico4linee!$F$17</c:f>
              <c:strCache>
                <c:ptCount val="1"/>
                <c:pt idx="0">
                  <c:v>Balanced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</c:spPr>
          <c:invertIfNegative val="0"/>
          <c:cat>
            <c:numRef>
              <c:f>Grafico4linee!$G$14:$K$14</c:f>
              <c:numCache>
                <c:formatCode>General</c:formatCode>
                <c:ptCount val="5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</c:numCache>
            </c:numRef>
          </c:cat>
          <c:val>
            <c:numRef>
              <c:f>Grafico4linee!$G$17:$K$17</c:f>
              <c:numCache>
                <c:formatCode>0.00</c:formatCode>
                <c:ptCount val="5"/>
                <c:pt idx="0">
                  <c:v>0.56284118116520354</c:v>
                </c:pt>
                <c:pt idx="1">
                  <c:v>0.49603096169437161</c:v>
                </c:pt>
                <c:pt idx="2">
                  <c:v>0.47959607602992205</c:v>
                </c:pt>
                <c:pt idx="3">
                  <c:v>0.46725710298564099</c:v>
                </c:pt>
                <c:pt idx="4">
                  <c:v>0.44740148125063911</c:v>
                </c:pt>
              </c:numCache>
            </c:numRef>
          </c:val>
        </c:ser>
        <c:ser>
          <c:idx val="3"/>
          <c:order val="3"/>
          <c:tx>
            <c:strRef>
              <c:f>Grafico4linee!$F$18</c:f>
              <c:strCache>
                <c:ptCount val="1"/>
                <c:pt idx="0">
                  <c:v>Growth</c:v>
                </c:pt>
              </c:strCache>
            </c:strRef>
          </c:tx>
          <c:spPr>
            <a:solidFill>
              <a:schemeClr val="tx1"/>
            </a:solidFill>
          </c:spPr>
          <c:invertIfNegative val="0"/>
          <c:cat>
            <c:numRef>
              <c:f>Grafico4linee!$G$14:$K$14</c:f>
              <c:numCache>
                <c:formatCode>General</c:formatCode>
                <c:ptCount val="5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</c:numCache>
            </c:numRef>
          </c:cat>
          <c:val>
            <c:numRef>
              <c:f>Grafico4linee!$G$18:$K$18</c:f>
              <c:numCache>
                <c:formatCode>0.00</c:formatCode>
                <c:ptCount val="5"/>
                <c:pt idx="0">
                  <c:v>3.8432713867669971E-2</c:v>
                </c:pt>
                <c:pt idx="1">
                  <c:v>3.0074031115556003E-2</c:v>
                </c:pt>
                <c:pt idx="2">
                  <c:v>3.1391760623416545E-2</c:v>
                </c:pt>
                <c:pt idx="3">
                  <c:v>3.3198271535420057E-2</c:v>
                </c:pt>
                <c:pt idx="4">
                  <c:v>3.4144969737104791E-2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045056"/>
        <c:axId val="46055424"/>
      </c:barChart>
      <c:catAx>
        <c:axId val="460450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Year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46055424"/>
        <c:crosses val="autoZero"/>
        <c:auto val="1"/>
        <c:lblAlgn val="ctr"/>
        <c:lblOffset val="100"/>
        <c:noMultiLvlLbl val="0"/>
      </c:catAx>
      <c:valAx>
        <c:axId val="4605542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Frequency</a:t>
                </a:r>
              </a:p>
            </c:rich>
          </c:tx>
          <c:layout/>
          <c:overlay val="0"/>
        </c:title>
        <c:numFmt formatCode="0.00" sourceLinked="1"/>
        <c:majorTickMark val="out"/>
        <c:minorTickMark val="none"/>
        <c:tickLblPos val="nextTo"/>
        <c:crossAx val="4604505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050">
                <a:effectLst/>
              </a:rPr>
              <a:t>Panel C
Subscriber distribution: 4 investment lines</a:t>
            </a:r>
            <a:endParaRPr lang="en-US"/>
          </a:p>
        </c:rich>
      </c:tx>
      <c:layout>
        <c:manualLayout>
          <c:xMode val="edge"/>
          <c:yMode val="edge"/>
          <c:x val="0.23956255468066492"/>
          <c:y val="0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Grafico4linee!$L$15:$L$18</c:f>
              <c:strCache>
                <c:ptCount val="4"/>
                <c:pt idx="0">
                  <c:v>No-risk</c:v>
                </c:pt>
                <c:pt idx="1">
                  <c:v>Low risk</c:v>
                </c:pt>
                <c:pt idx="2">
                  <c:v>Balanced</c:v>
                </c:pt>
                <c:pt idx="3">
                  <c:v>Growth</c:v>
                </c:pt>
              </c:strCache>
            </c:strRef>
          </c:cat>
          <c:val>
            <c:numRef>
              <c:f>Grafico4linee!$M$15:$M$18</c:f>
              <c:numCache>
                <c:formatCode>0.00</c:formatCode>
                <c:ptCount val="4"/>
                <c:pt idx="0">
                  <c:v>0.13005857147602334</c:v>
                </c:pt>
                <c:pt idx="1">
                  <c:v>0.34904508061001299</c:v>
                </c:pt>
                <c:pt idx="2">
                  <c:v>0.4876787517098865</c:v>
                </c:pt>
                <c:pt idx="3">
                  <c:v>3.3217596204077153E-2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354432"/>
        <c:axId val="46356352"/>
      </c:barChart>
      <c:catAx>
        <c:axId val="463544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Investment line type</a:t>
                </a:r>
              </a:p>
            </c:rich>
          </c:tx>
          <c:layout/>
          <c:overlay val="0"/>
        </c:title>
        <c:majorTickMark val="none"/>
        <c:minorTickMark val="none"/>
        <c:tickLblPos val="nextTo"/>
        <c:crossAx val="46356352"/>
        <c:crosses val="autoZero"/>
        <c:auto val="1"/>
        <c:lblAlgn val="ctr"/>
        <c:lblOffset val="100"/>
        <c:noMultiLvlLbl val="0"/>
      </c:catAx>
      <c:valAx>
        <c:axId val="4635635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Frequency</a:t>
                </a:r>
              </a:p>
            </c:rich>
          </c:tx>
          <c:layout/>
          <c:overlay val="0"/>
        </c:title>
        <c:numFmt formatCode="0.00" sourceLinked="1"/>
        <c:majorTickMark val="out"/>
        <c:minorTickMark val="none"/>
        <c:tickLblPos val="nextTo"/>
        <c:crossAx val="4635443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876300</xdr:colOff>
      <xdr:row>1</xdr:row>
      <xdr:rowOff>157162</xdr:rowOff>
    </xdr:from>
    <xdr:to>
      <xdr:col>19</xdr:col>
      <xdr:colOff>571500</xdr:colOff>
      <xdr:row>16</xdr:row>
      <xdr:rowOff>42862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914400</xdr:colOff>
      <xdr:row>17</xdr:row>
      <xdr:rowOff>4762</xdr:rowOff>
    </xdr:from>
    <xdr:to>
      <xdr:col>20</xdr:col>
      <xdr:colOff>0</xdr:colOff>
      <xdr:row>31</xdr:row>
      <xdr:rowOff>80962</xdr:rowOff>
    </xdr:to>
    <xdr:graphicFrame macro="">
      <xdr:nvGraphicFramePr>
        <xdr:cNvPr id="3" name="Gra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20</xdr:col>
      <xdr:colOff>190500</xdr:colOff>
      <xdr:row>12</xdr:row>
      <xdr:rowOff>80962</xdr:rowOff>
    </xdr:from>
    <xdr:to>
      <xdr:col>27</xdr:col>
      <xdr:colOff>495300</xdr:colOff>
      <xdr:row>26</xdr:row>
      <xdr:rowOff>157162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333375</xdr:colOff>
      <xdr:row>1</xdr:row>
      <xdr:rowOff>4762</xdr:rowOff>
    </xdr:from>
    <xdr:to>
      <xdr:col>21</xdr:col>
      <xdr:colOff>28575</xdr:colOff>
      <xdr:row>15</xdr:row>
      <xdr:rowOff>80962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352425</xdr:colOff>
      <xdr:row>16</xdr:row>
      <xdr:rowOff>61912</xdr:rowOff>
    </xdr:from>
    <xdr:to>
      <xdr:col>21</xdr:col>
      <xdr:colOff>47625</xdr:colOff>
      <xdr:row>30</xdr:row>
      <xdr:rowOff>138112</xdr:rowOff>
    </xdr:to>
    <xdr:graphicFrame macro="">
      <xdr:nvGraphicFramePr>
        <xdr:cNvPr id="3" name="Gra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19</xdr:col>
      <xdr:colOff>142875</xdr:colOff>
      <xdr:row>31</xdr:row>
      <xdr:rowOff>61912</xdr:rowOff>
    </xdr:from>
    <xdr:to>
      <xdr:col>26</xdr:col>
      <xdr:colOff>447675</xdr:colOff>
      <xdr:row>45</xdr:row>
      <xdr:rowOff>138112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257175</xdr:colOff>
      <xdr:row>1</xdr:row>
      <xdr:rowOff>119062</xdr:rowOff>
    </xdr:from>
    <xdr:to>
      <xdr:col>21</xdr:col>
      <xdr:colOff>561975</xdr:colOff>
      <xdr:row>16</xdr:row>
      <xdr:rowOff>4762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323850</xdr:colOff>
      <xdr:row>17</xdr:row>
      <xdr:rowOff>33337</xdr:rowOff>
    </xdr:from>
    <xdr:to>
      <xdr:col>22</xdr:col>
      <xdr:colOff>19050</xdr:colOff>
      <xdr:row>31</xdr:row>
      <xdr:rowOff>109537</xdr:rowOff>
    </xdr:to>
    <xdr:graphicFrame macro="">
      <xdr:nvGraphicFramePr>
        <xdr:cNvPr id="3" name="Gra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190500</xdr:colOff>
      <xdr:row>6</xdr:row>
      <xdr:rowOff>176212</xdr:rowOff>
    </xdr:from>
    <xdr:to>
      <xdr:col>25</xdr:col>
      <xdr:colOff>495300</xdr:colOff>
      <xdr:row>21</xdr:row>
      <xdr:rowOff>61912</xdr:rowOff>
    </xdr:to>
    <xdr:graphicFrame macro="">
      <xdr:nvGraphicFramePr>
        <xdr:cNvPr id="5" name="Gra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57150</xdr:colOff>
      <xdr:row>0</xdr:row>
      <xdr:rowOff>71437</xdr:rowOff>
    </xdr:from>
    <xdr:to>
      <xdr:col>22</xdr:col>
      <xdr:colOff>342900</xdr:colOff>
      <xdr:row>14</xdr:row>
      <xdr:rowOff>147637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161925</xdr:colOff>
      <xdr:row>16</xdr:row>
      <xdr:rowOff>33337</xdr:rowOff>
    </xdr:from>
    <xdr:to>
      <xdr:col>20</xdr:col>
      <xdr:colOff>466725</xdr:colOff>
      <xdr:row>30</xdr:row>
      <xdr:rowOff>109537</xdr:rowOff>
    </xdr:to>
    <xdr:graphicFrame macro="">
      <xdr:nvGraphicFramePr>
        <xdr:cNvPr id="3" name="Gra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57150</xdr:colOff>
      <xdr:row>9</xdr:row>
      <xdr:rowOff>52387</xdr:rowOff>
    </xdr:from>
    <xdr:to>
      <xdr:col>21</xdr:col>
      <xdr:colOff>361950</xdr:colOff>
      <xdr:row>23</xdr:row>
      <xdr:rowOff>128587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31"/>
  <sheetViews>
    <sheetView topLeftCell="F58" workbookViewId="0">
      <selection activeCell="R5" sqref="R5:R6"/>
    </sheetView>
  </sheetViews>
  <sheetFormatPr defaultRowHeight="15" x14ac:dyDescent="0.25"/>
  <cols>
    <col min="1" max="5" width="9.140625" style="11"/>
    <col min="6" max="7" width="13.42578125" style="11" customWidth="1"/>
    <col min="8" max="8" width="9.140625" style="11"/>
    <col min="9" max="9" width="18.42578125" style="4" customWidth="1"/>
    <col min="10" max="10" width="13.140625" style="4" customWidth="1"/>
    <col min="11" max="11" width="7.7109375" style="4" customWidth="1"/>
    <col min="12" max="12" width="13.140625" style="4" customWidth="1"/>
    <col min="13" max="13" width="19.5703125" style="4" customWidth="1"/>
    <col min="14" max="14" width="18.28515625" style="2" customWidth="1"/>
  </cols>
  <sheetData>
    <row r="1" spans="1:18" s="6" customFormat="1" x14ac:dyDescent="0.25">
      <c r="A1" s="9" t="s">
        <v>75</v>
      </c>
      <c r="B1" s="10" t="s">
        <v>0</v>
      </c>
      <c r="C1" s="10" t="s">
        <v>1</v>
      </c>
      <c r="D1" s="10" t="s">
        <v>2</v>
      </c>
      <c r="E1" s="10" t="s">
        <v>3</v>
      </c>
      <c r="F1" s="10" t="s">
        <v>67</v>
      </c>
      <c r="G1" s="10" t="s">
        <v>37</v>
      </c>
      <c r="H1" s="10" t="s">
        <v>38</v>
      </c>
      <c r="I1" s="1" t="s">
        <v>73</v>
      </c>
      <c r="J1" s="1" t="s">
        <v>74</v>
      </c>
      <c r="K1" s="1" t="s">
        <v>76</v>
      </c>
      <c r="L1" s="1" t="s">
        <v>82</v>
      </c>
      <c r="M1" s="1"/>
      <c r="N1" s="1"/>
    </row>
    <row r="2" spans="1:18" x14ac:dyDescent="0.25">
      <c r="A2" s="11">
        <v>1</v>
      </c>
      <c r="B2" s="12" t="s">
        <v>4</v>
      </c>
      <c r="C2" s="12">
        <v>0</v>
      </c>
      <c r="D2" s="12" t="s">
        <v>5</v>
      </c>
      <c r="E2" s="12">
        <v>2007</v>
      </c>
      <c r="F2" s="11">
        <v>5</v>
      </c>
      <c r="G2" s="4" t="s">
        <v>42</v>
      </c>
      <c r="H2" s="4" t="s">
        <v>43</v>
      </c>
      <c r="I2" s="4">
        <v>3.9399999999999998E-2</v>
      </c>
      <c r="J2" s="4">
        <v>70</v>
      </c>
      <c r="K2" s="8">
        <v>0.57999999999999996</v>
      </c>
      <c r="L2" s="3">
        <f>IF(D2="garantito",0,1)</f>
        <v>0</v>
      </c>
    </row>
    <row r="3" spans="1:18" x14ac:dyDescent="0.25">
      <c r="A3" s="11">
        <v>1</v>
      </c>
      <c r="B3" s="12" t="s">
        <v>4</v>
      </c>
      <c r="C3" s="12">
        <f>7730-157</f>
        <v>7573</v>
      </c>
      <c r="D3" s="12" t="s">
        <v>6</v>
      </c>
      <c r="E3" s="12">
        <v>2007</v>
      </c>
      <c r="F3" s="11">
        <v>5</v>
      </c>
      <c r="G3" s="4" t="s">
        <v>42</v>
      </c>
      <c r="H3" s="4" t="s">
        <v>43</v>
      </c>
      <c r="I3" s="4">
        <v>0.03</v>
      </c>
      <c r="J3" s="4">
        <v>70</v>
      </c>
      <c r="K3" s="8">
        <v>0.42</v>
      </c>
      <c r="L3" s="3">
        <f t="shared" ref="L3:L61" si="0">IF(D3="garantito",0,1)</f>
        <v>1</v>
      </c>
    </row>
    <row r="4" spans="1:18" x14ac:dyDescent="0.25">
      <c r="A4" s="11">
        <v>1</v>
      </c>
      <c r="B4" s="12" t="s">
        <v>4</v>
      </c>
      <c r="C4" s="12">
        <f>284-208</f>
        <v>76</v>
      </c>
      <c r="D4" s="12" t="s">
        <v>5</v>
      </c>
      <c r="E4" s="12">
        <v>2008</v>
      </c>
      <c r="F4" s="11">
        <v>5</v>
      </c>
      <c r="G4" s="4" t="s">
        <v>42</v>
      </c>
      <c r="H4" s="4" t="s">
        <v>43</v>
      </c>
      <c r="I4" s="4">
        <v>4.2099999999999999E-2</v>
      </c>
      <c r="J4" s="4">
        <v>76</v>
      </c>
      <c r="K4" s="8">
        <v>0.57999999999999996</v>
      </c>
      <c r="L4" s="3">
        <f t="shared" si="0"/>
        <v>0</v>
      </c>
      <c r="N4" s="4">
        <v>2007</v>
      </c>
      <c r="O4" s="4">
        <v>2008</v>
      </c>
      <c r="P4" s="4">
        <v>2009</v>
      </c>
      <c r="Q4" s="4">
        <v>2010</v>
      </c>
      <c r="R4" s="4">
        <v>2011</v>
      </c>
    </row>
    <row r="5" spans="1:18" x14ac:dyDescent="0.25">
      <c r="A5" s="11">
        <v>1</v>
      </c>
      <c r="B5" s="12" t="s">
        <v>4</v>
      </c>
      <c r="C5" s="12">
        <v>7712</v>
      </c>
      <c r="D5" s="12" t="s">
        <v>6</v>
      </c>
      <c r="E5" s="12">
        <v>2008</v>
      </c>
      <c r="F5" s="11">
        <v>5</v>
      </c>
      <c r="G5" s="4" t="s">
        <v>42</v>
      </c>
      <c r="H5" s="4" t="s">
        <v>43</v>
      </c>
      <c r="I5" s="4">
        <v>-6.25E-2</v>
      </c>
      <c r="J5" s="4">
        <v>76</v>
      </c>
      <c r="K5" s="8">
        <v>0.42</v>
      </c>
      <c r="L5" s="3">
        <f t="shared" si="0"/>
        <v>1</v>
      </c>
      <c r="M5" s="4" t="s">
        <v>94</v>
      </c>
      <c r="N5" s="16">
        <f>SUMIFS(I2:I61,D2:D61,"Garantito",E2:E61,"2007")</f>
        <v>0.15040000000000001</v>
      </c>
      <c r="O5" s="16">
        <f>SUMIFS(I2:I61,D2:D61,"Garantito",E2:E61,"2008")</f>
        <v>0.20609999999999998</v>
      </c>
      <c r="P5" s="16">
        <f>SUMIFS(I2:I61,D2:D61,"Garantito",E2:E61,"2009")</f>
        <v>0.23700000000000002</v>
      </c>
      <c r="Q5" s="16">
        <f>SUMIFS(I2:I61,D2:D61,"Garantito",E2:E61,"2010")</f>
        <v>3.8600000000000002E-2</v>
      </c>
      <c r="R5" s="16">
        <f>SUMIFS(I2:I61,D2:D61,"Garantito",E2:E61,"2007")</f>
        <v>0.15040000000000001</v>
      </c>
    </row>
    <row r="6" spans="1:18" x14ac:dyDescent="0.25">
      <c r="A6" s="11">
        <v>1</v>
      </c>
      <c r="B6" s="12" t="s">
        <v>4</v>
      </c>
      <c r="C6" s="12">
        <f>562-257</f>
        <v>305</v>
      </c>
      <c r="D6" s="12" t="s">
        <v>5</v>
      </c>
      <c r="E6" s="12">
        <v>2009</v>
      </c>
      <c r="F6" s="11">
        <v>5</v>
      </c>
      <c r="G6" s="4" t="s">
        <v>42</v>
      </c>
      <c r="H6" s="4" t="s">
        <v>43</v>
      </c>
      <c r="I6" s="4">
        <v>4.65E-2</v>
      </c>
      <c r="J6" s="4">
        <v>85</v>
      </c>
      <c r="K6" s="8">
        <v>0.57999999999999996</v>
      </c>
      <c r="L6" s="3">
        <f t="shared" si="0"/>
        <v>0</v>
      </c>
      <c r="N6" s="16">
        <f>SUMIFS(I2:I61,D2:D61,"Bilanciato",E2:E61,"2007")</f>
        <v>0.10799999999999998</v>
      </c>
      <c r="O6" s="16">
        <f>SUMIFS(I2:I61,D2:D61,"Bilanciato",E2:E61,"2008")</f>
        <v>-0.38800000000000001</v>
      </c>
      <c r="P6" s="16">
        <f>SUMIFS(I2:I61,D2:D61,"Bilanciato",E2:E61,"2009")</f>
        <v>0.57220000000000004</v>
      </c>
      <c r="Q6" s="16">
        <f>SUMIFS(I2:I61,D2:D61,"Bilanciato",E2:E61,"2010")</f>
        <v>0.24299999999999999</v>
      </c>
      <c r="R6" s="16">
        <f>SUMIFS(I2:I61,D2:D61,"Bilanciato",E2:E61,"2011")</f>
        <v>9.4999999999999998E-3</v>
      </c>
    </row>
    <row r="7" spans="1:18" x14ac:dyDescent="0.25">
      <c r="A7" s="11">
        <v>1</v>
      </c>
      <c r="B7" s="12" t="s">
        <v>4</v>
      </c>
      <c r="C7" s="12">
        <v>7610</v>
      </c>
      <c r="D7" s="12" t="s">
        <v>6</v>
      </c>
      <c r="E7" s="12">
        <v>2009</v>
      </c>
      <c r="F7" s="11">
        <v>5</v>
      </c>
      <c r="G7" s="4" t="s">
        <v>42</v>
      </c>
      <c r="H7" s="4" t="s">
        <v>43</v>
      </c>
      <c r="I7" s="4">
        <v>9.8599999999999993E-2</v>
      </c>
      <c r="J7" s="4">
        <v>85</v>
      </c>
      <c r="K7" s="8">
        <v>0.42</v>
      </c>
      <c r="L7" s="3">
        <f t="shared" si="0"/>
        <v>1</v>
      </c>
    </row>
    <row r="8" spans="1:18" x14ac:dyDescent="0.25">
      <c r="A8" s="11">
        <v>1</v>
      </c>
      <c r="B8" s="12" t="s">
        <v>4</v>
      </c>
      <c r="C8" s="12">
        <f>717-321</f>
        <v>396</v>
      </c>
      <c r="D8" s="12" t="s">
        <v>5</v>
      </c>
      <c r="E8" s="12">
        <v>2010</v>
      </c>
      <c r="F8" s="11">
        <v>5</v>
      </c>
      <c r="G8" s="4" t="s">
        <v>42</v>
      </c>
      <c r="H8" s="4" t="s">
        <v>43</v>
      </c>
      <c r="I8" s="4">
        <v>3.0999999999999999E-3</v>
      </c>
      <c r="J8" s="3">
        <v>82</v>
      </c>
      <c r="K8" s="8">
        <v>0.57999999999999996</v>
      </c>
      <c r="L8" s="3">
        <f t="shared" si="0"/>
        <v>0</v>
      </c>
    </row>
    <row r="9" spans="1:18" x14ac:dyDescent="0.25">
      <c r="A9" s="11">
        <v>1</v>
      </c>
      <c r="B9" s="12" t="s">
        <v>4</v>
      </c>
      <c r="C9" s="12">
        <v>7504</v>
      </c>
      <c r="D9" s="12" t="s">
        <v>6</v>
      </c>
      <c r="E9" s="12">
        <v>2010</v>
      </c>
      <c r="F9" s="11">
        <v>5</v>
      </c>
      <c r="G9" s="4" t="s">
        <v>42</v>
      </c>
      <c r="H9" s="4" t="s">
        <v>43</v>
      </c>
      <c r="I9" s="4">
        <v>4.6399999999999997E-2</v>
      </c>
      <c r="J9" s="3">
        <v>82</v>
      </c>
      <c r="K9" s="8">
        <v>0.42</v>
      </c>
      <c r="L9" s="3">
        <f t="shared" si="0"/>
        <v>1</v>
      </c>
    </row>
    <row r="10" spans="1:18" x14ac:dyDescent="0.25">
      <c r="A10" s="11">
        <v>1</v>
      </c>
      <c r="B10" s="12" t="s">
        <v>4</v>
      </c>
      <c r="C10" s="12">
        <v>571</v>
      </c>
      <c r="D10" s="12" t="s">
        <v>5</v>
      </c>
      <c r="E10" s="12">
        <v>2011</v>
      </c>
      <c r="F10" s="11">
        <v>5</v>
      </c>
      <c r="G10" s="4" t="s">
        <v>42</v>
      </c>
      <c r="H10" s="4" t="s">
        <v>43</v>
      </c>
      <c r="I10" s="4">
        <v>1.7100000000000001E-2</v>
      </c>
      <c r="J10" s="3">
        <v>82</v>
      </c>
      <c r="K10" s="8">
        <v>0.57999999999999996</v>
      </c>
      <c r="L10" s="3">
        <f t="shared" si="0"/>
        <v>0</v>
      </c>
    </row>
    <row r="11" spans="1:18" x14ac:dyDescent="0.25">
      <c r="A11" s="11">
        <v>1</v>
      </c>
      <c r="B11" s="12" t="s">
        <v>4</v>
      </c>
      <c r="C11" s="12">
        <v>7483</v>
      </c>
      <c r="D11" s="12" t="s">
        <v>72</v>
      </c>
      <c r="E11" s="12">
        <v>2011</v>
      </c>
      <c r="F11" s="11">
        <v>5</v>
      </c>
      <c r="G11" s="4" t="s">
        <v>42</v>
      </c>
      <c r="H11" s="4" t="s">
        <v>43</v>
      </c>
      <c r="I11" s="4">
        <v>1.2800000000000001E-2</v>
      </c>
      <c r="J11" s="3">
        <v>82</v>
      </c>
      <c r="K11" s="8">
        <v>0.42</v>
      </c>
      <c r="L11" s="3">
        <f t="shared" si="0"/>
        <v>1</v>
      </c>
    </row>
    <row r="12" spans="1:18" x14ac:dyDescent="0.25">
      <c r="A12" s="11">
        <v>2</v>
      </c>
      <c r="B12" s="12" t="s">
        <v>8</v>
      </c>
      <c r="C12" s="12">
        <f>1029-114</f>
        <v>915</v>
      </c>
      <c r="D12" s="12" t="s">
        <v>5</v>
      </c>
      <c r="E12" s="12">
        <v>2007</v>
      </c>
      <c r="F12" s="5">
        <v>3</v>
      </c>
      <c r="G12" s="4" t="s">
        <v>46</v>
      </c>
      <c r="H12" s="4" t="s">
        <v>46</v>
      </c>
      <c r="I12" s="4">
        <v>1.18E-2</v>
      </c>
      <c r="J12" s="3">
        <v>88</v>
      </c>
      <c r="K12" s="8">
        <v>0.71</v>
      </c>
      <c r="L12" s="3">
        <f t="shared" si="0"/>
        <v>0</v>
      </c>
    </row>
    <row r="13" spans="1:18" x14ac:dyDescent="0.25">
      <c r="A13" s="11">
        <v>2</v>
      </c>
      <c r="B13" s="12" t="s">
        <v>8</v>
      </c>
      <c r="C13" s="12">
        <v>6980</v>
      </c>
      <c r="D13" s="12" t="s">
        <v>6</v>
      </c>
      <c r="E13" s="12">
        <v>2007</v>
      </c>
      <c r="F13" s="3">
        <v>3</v>
      </c>
      <c r="G13" s="4" t="s">
        <v>46</v>
      </c>
      <c r="H13" s="4" t="s">
        <v>46</v>
      </c>
      <c r="I13" s="4">
        <v>9.1999999999999998E-3</v>
      </c>
      <c r="J13" s="3">
        <v>88</v>
      </c>
      <c r="K13" s="8">
        <v>0.63</v>
      </c>
      <c r="L13" s="3">
        <f t="shared" si="0"/>
        <v>1</v>
      </c>
    </row>
    <row r="14" spans="1:18" x14ac:dyDescent="0.25">
      <c r="A14" s="11">
        <v>2</v>
      </c>
      <c r="B14" s="12" t="s">
        <v>8</v>
      </c>
      <c r="C14" s="12">
        <v>1340</v>
      </c>
      <c r="D14" s="12" t="s">
        <v>5</v>
      </c>
      <c r="E14" s="12">
        <v>2008</v>
      </c>
      <c r="F14" s="5">
        <v>3</v>
      </c>
      <c r="G14" s="4" t="s">
        <v>46</v>
      </c>
      <c r="H14" s="4" t="s">
        <v>46</v>
      </c>
      <c r="I14" s="7">
        <v>1.67E-2</v>
      </c>
      <c r="J14" s="3">
        <v>93</v>
      </c>
      <c r="K14" s="8">
        <v>0.71</v>
      </c>
      <c r="L14" s="3">
        <f t="shared" si="0"/>
        <v>0</v>
      </c>
    </row>
    <row r="15" spans="1:18" x14ac:dyDescent="0.25">
      <c r="A15" s="11">
        <v>2</v>
      </c>
      <c r="B15" s="12" t="s">
        <v>8</v>
      </c>
      <c r="C15" s="12">
        <v>6703</v>
      </c>
      <c r="D15" s="12" t="s">
        <v>6</v>
      </c>
      <c r="E15" s="12">
        <v>2008</v>
      </c>
      <c r="F15" s="5">
        <v>3</v>
      </c>
      <c r="G15" s="4" t="s">
        <v>46</v>
      </c>
      <c r="H15" s="4" t="s">
        <v>46</v>
      </c>
      <c r="I15" s="7">
        <v>-6.4199999999999993E-2</v>
      </c>
      <c r="J15" s="3">
        <v>93</v>
      </c>
      <c r="K15" s="8">
        <v>0.63</v>
      </c>
      <c r="L15" s="3">
        <f t="shared" si="0"/>
        <v>1</v>
      </c>
    </row>
    <row r="16" spans="1:18" x14ac:dyDescent="0.25">
      <c r="A16" s="11">
        <v>2</v>
      </c>
      <c r="B16" s="12" t="s">
        <v>8</v>
      </c>
      <c r="C16" s="12">
        <v>1495</v>
      </c>
      <c r="D16" s="12" t="s">
        <v>5</v>
      </c>
      <c r="E16" s="12">
        <v>2009</v>
      </c>
      <c r="F16" s="5">
        <v>3</v>
      </c>
      <c r="G16" s="4" t="s">
        <v>46</v>
      </c>
      <c r="H16" s="4" t="s">
        <v>46</v>
      </c>
      <c r="I16" s="7">
        <v>3.73E-2</v>
      </c>
      <c r="J16" s="3">
        <v>94</v>
      </c>
      <c r="K16" s="8">
        <v>0.71</v>
      </c>
      <c r="L16" s="3">
        <f t="shared" si="0"/>
        <v>0</v>
      </c>
    </row>
    <row r="17" spans="1:14" x14ac:dyDescent="0.25">
      <c r="A17" s="11">
        <v>2</v>
      </c>
      <c r="B17" s="12" t="s">
        <v>8</v>
      </c>
      <c r="C17" s="12">
        <v>6336</v>
      </c>
      <c r="D17" s="12" t="s">
        <v>6</v>
      </c>
      <c r="E17" s="12">
        <v>2009</v>
      </c>
      <c r="F17" s="5">
        <v>3</v>
      </c>
      <c r="G17" s="4" t="s">
        <v>46</v>
      </c>
      <c r="H17" s="4" t="s">
        <v>46</v>
      </c>
      <c r="I17" s="7">
        <v>9.8400000000000001E-2</v>
      </c>
      <c r="J17" s="3">
        <v>94</v>
      </c>
      <c r="K17" s="8">
        <v>0.63</v>
      </c>
      <c r="L17" s="3">
        <f t="shared" si="0"/>
        <v>1</v>
      </c>
      <c r="M17"/>
      <c r="N17"/>
    </row>
    <row r="18" spans="1:14" x14ac:dyDescent="0.25">
      <c r="A18" s="11">
        <v>2</v>
      </c>
      <c r="B18" s="12" t="s">
        <v>8</v>
      </c>
      <c r="C18" s="12">
        <v>1517</v>
      </c>
      <c r="D18" s="12" t="s">
        <v>5</v>
      </c>
      <c r="E18" s="12">
        <v>2010</v>
      </c>
      <c r="F18" s="5">
        <v>3</v>
      </c>
      <c r="G18" s="4" t="s">
        <v>46</v>
      </c>
      <c r="H18" s="4" t="s">
        <v>46</v>
      </c>
      <c r="I18" s="7">
        <v>8.3000000000000001E-3</v>
      </c>
      <c r="J18" s="3">
        <v>92</v>
      </c>
      <c r="K18" s="8">
        <v>0.71</v>
      </c>
      <c r="L18" s="3">
        <f t="shared" si="0"/>
        <v>0</v>
      </c>
      <c r="M18"/>
      <c r="N18"/>
    </row>
    <row r="19" spans="1:14" x14ac:dyDescent="0.25">
      <c r="A19" s="11">
        <v>2</v>
      </c>
      <c r="B19" s="12" t="s">
        <v>8</v>
      </c>
      <c r="C19" s="12">
        <v>6102</v>
      </c>
      <c r="D19" s="12" t="s">
        <v>6</v>
      </c>
      <c r="E19" s="12">
        <v>2010</v>
      </c>
      <c r="F19" s="5">
        <v>3</v>
      </c>
      <c r="G19" s="4" t="s">
        <v>46</v>
      </c>
      <c r="H19" s="4" t="s">
        <v>46</v>
      </c>
      <c r="I19" s="7">
        <v>5.8799999999999998E-2</v>
      </c>
      <c r="J19" s="3">
        <v>92</v>
      </c>
      <c r="K19" s="8">
        <v>0.63</v>
      </c>
      <c r="L19" s="3">
        <f t="shared" si="0"/>
        <v>1</v>
      </c>
      <c r="M19"/>
      <c r="N19"/>
    </row>
    <row r="20" spans="1:14" x14ac:dyDescent="0.25">
      <c r="A20" s="11">
        <v>2</v>
      </c>
      <c r="B20" s="12" t="s">
        <v>8</v>
      </c>
      <c r="C20" s="12">
        <v>1282</v>
      </c>
      <c r="D20" s="12" t="s">
        <v>5</v>
      </c>
      <c r="E20" s="12">
        <v>2011</v>
      </c>
      <c r="F20" s="5">
        <v>3</v>
      </c>
      <c r="G20" s="4" t="s">
        <v>46</v>
      </c>
      <c r="H20" s="4" t="s">
        <v>46</v>
      </c>
      <c r="I20" s="7">
        <v>1.47E-2</v>
      </c>
      <c r="J20" s="3">
        <v>95</v>
      </c>
      <c r="K20" s="8">
        <v>0.71</v>
      </c>
      <c r="L20" s="3">
        <f t="shared" si="0"/>
        <v>0</v>
      </c>
      <c r="M20"/>
      <c r="N20"/>
    </row>
    <row r="21" spans="1:14" x14ac:dyDescent="0.25">
      <c r="A21" s="11">
        <v>2</v>
      </c>
      <c r="B21" s="12" t="s">
        <v>8</v>
      </c>
      <c r="C21" s="12">
        <v>5883</v>
      </c>
      <c r="D21" s="12" t="s">
        <v>6</v>
      </c>
      <c r="E21" s="12">
        <v>2011</v>
      </c>
      <c r="F21" s="5">
        <v>3</v>
      </c>
      <c r="G21" s="4" t="s">
        <v>46</v>
      </c>
      <c r="H21" s="4" t="s">
        <v>46</v>
      </c>
      <c r="I21" s="7">
        <v>2.5999999999999999E-3</v>
      </c>
      <c r="J21" s="3">
        <v>95</v>
      </c>
      <c r="K21" s="8">
        <v>0.63</v>
      </c>
      <c r="L21" s="3">
        <f t="shared" si="0"/>
        <v>1</v>
      </c>
      <c r="M21"/>
      <c r="N21"/>
    </row>
    <row r="22" spans="1:14" x14ac:dyDescent="0.25">
      <c r="A22" s="11">
        <v>3</v>
      </c>
      <c r="B22" s="12" t="s">
        <v>7</v>
      </c>
      <c r="C22" s="12">
        <f>31758-5760</f>
        <v>25998</v>
      </c>
      <c r="D22" s="12" t="s">
        <v>5</v>
      </c>
      <c r="E22" s="12">
        <v>2007</v>
      </c>
      <c r="F22" s="5">
        <v>6</v>
      </c>
      <c r="G22" s="4" t="s">
        <v>54</v>
      </c>
      <c r="H22" s="4" t="s">
        <v>55</v>
      </c>
      <c r="I22" s="4">
        <v>0.03</v>
      </c>
      <c r="J22" s="3">
        <v>8</v>
      </c>
      <c r="K22" s="8">
        <v>0.4</v>
      </c>
      <c r="L22" s="3">
        <f t="shared" si="0"/>
        <v>0</v>
      </c>
      <c r="M22"/>
      <c r="N22"/>
    </row>
    <row r="23" spans="1:14" x14ac:dyDescent="0.25">
      <c r="A23" s="11">
        <v>3</v>
      </c>
      <c r="B23" s="12" t="s">
        <v>7</v>
      </c>
      <c r="C23" s="12">
        <v>49759</v>
      </c>
      <c r="D23" s="12" t="s">
        <v>6</v>
      </c>
      <c r="E23" s="12">
        <v>2007</v>
      </c>
      <c r="F23" s="3">
        <v>6</v>
      </c>
      <c r="G23" s="4" t="s">
        <v>54</v>
      </c>
      <c r="H23" s="4" t="s">
        <v>55</v>
      </c>
      <c r="I23" s="7">
        <v>0.04</v>
      </c>
      <c r="J23" s="3">
        <v>8</v>
      </c>
      <c r="K23" s="8">
        <v>0.39</v>
      </c>
      <c r="L23" s="3">
        <f t="shared" si="0"/>
        <v>1</v>
      </c>
      <c r="M23"/>
      <c r="N23"/>
    </row>
    <row r="24" spans="1:14" x14ac:dyDescent="0.25">
      <c r="A24" s="11">
        <v>3</v>
      </c>
      <c r="B24" s="12" t="s">
        <v>7</v>
      </c>
      <c r="C24" s="12">
        <f>41314-7346</f>
        <v>33968</v>
      </c>
      <c r="D24" s="12" t="s">
        <v>5</v>
      </c>
      <c r="E24" s="12">
        <v>2008</v>
      </c>
      <c r="F24" s="5">
        <v>6</v>
      </c>
      <c r="G24" s="4" t="s">
        <v>54</v>
      </c>
      <c r="H24" s="4" t="s">
        <v>55</v>
      </c>
      <c r="I24" s="4">
        <v>3.1E-2</v>
      </c>
      <c r="J24" s="3">
        <v>11</v>
      </c>
      <c r="K24" s="8">
        <v>0.4</v>
      </c>
      <c r="L24" s="3">
        <f t="shared" si="0"/>
        <v>0</v>
      </c>
      <c r="M24"/>
      <c r="N24"/>
    </row>
    <row r="25" spans="1:14" x14ac:dyDescent="0.25">
      <c r="A25" s="11">
        <v>3</v>
      </c>
      <c r="B25" s="12" t="s">
        <v>7</v>
      </c>
      <c r="C25" s="12">
        <v>42576</v>
      </c>
      <c r="D25" s="12" t="s">
        <v>6</v>
      </c>
      <c r="E25" s="12">
        <v>2008</v>
      </c>
      <c r="F25" s="5">
        <v>6</v>
      </c>
      <c r="G25" s="4" t="s">
        <v>54</v>
      </c>
      <c r="H25" s="4" t="s">
        <v>55</v>
      </c>
      <c r="I25" s="4">
        <v>-2.2599999999999999E-2</v>
      </c>
      <c r="J25" s="3">
        <v>11</v>
      </c>
      <c r="K25" s="8">
        <v>0.39</v>
      </c>
      <c r="L25" s="3">
        <f t="shared" si="0"/>
        <v>1</v>
      </c>
      <c r="M25"/>
      <c r="N25"/>
    </row>
    <row r="26" spans="1:14" x14ac:dyDescent="0.25">
      <c r="A26" s="11">
        <v>3</v>
      </c>
      <c r="B26" s="12" t="s">
        <v>7</v>
      </c>
      <c r="C26" s="12">
        <f>44598-8266</f>
        <v>36332</v>
      </c>
      <c r="D26" s="12" t="s">
        <v>5</v>
      </c>
      <c r="E26" s="12">
        <v>2009</v>
      </c>
      <c r="F26" s="5">
        <v>6</v>
      </c>
      <c r="G26" s="4" t="s">
        <v>54</v>
      </c>
      <c r="H26" s="4" t="s">
        <v>55</v>
      </c>
      <c r="I26" s="7">
        <v>6.2399999999999997E-2</v>
      </c>
      <c r="J26" s="3">
        <v>11</v>
      </c>
      <c r="K26" s="8">
        <v>0.4</v>
      </c>
      <c r="L26" s="3">
        <f t="shared" si="0"/>
        <v>0</v>
      </c>
      <c r="M26"/>
      <c r="N26"/>
    </row>
    <row r="27" spans="1:14" x14ac:dyDescent="0.25">
      <c r="A27" s="11">
        <v>3</v>
      </c>
      <c r="B27" s="12" t="s">
        <v>7</v>
      </c>
      <c r="C27" s="12">
        <v>41173</v>
      </c>
      <c r="D27" s="12" t="s">
        <v>6</v>
      </c>
      <c r="E27" s="12">
        <v>2009</v>
      </c>
      <c r="F27" s="5">
        <v>6</v>
      </c>
      <c r="G27" s="4" t="s">
        <v>54</v>
      </c>
      <c r="H27" s="4" t="s">
        <v>55</v>
      </c>
      <c r="I27" s="7">
        <v>8.48E-2</v>
      </c>
      <c r="J27" s="3">
        <v>11</v>
      </c>
      <c r="K27" s="8">
        <v>0.39</v>
      </c>
      <c r="L27" s="3">
        <f t="shared" si="0"/>
        <v>1</v>
      </c>
      <c r="M27"/>
      <c r="N27"/>
    </row>
    <row r="28" spans="1:14" x14ac:dyDescent="0.25">
      <c r="A28" s="11">
        <v>3</v>
      </c>
      <c r="B28" s="12" t="s">
        <v>7</v>
      </c>
      <c r="C28" s="12">
        <f>49724-8556</f>
        <v>41168</v>
      </c>
      <c r="D28" s="12" t="s">
        <v>5</v>
      </c>
      <c r="E28" s="12">
        <v>2010</v>
      </c>
      <c r="F28" s="5">
        <v>6</v>
      </c>
      <c r="G28" s="4" t="s">
        <v>54</v>
      </c>
      <c r="H28" s="4" t="s">
        <v>55</v>
      </c>
      <c r="I28" s="7">
        <v>1.1900000000000001E-2</v>
      </c>
      <c r="J28" s="3">
        <v>14</v>
      </c>
      <c r="K28" s="8">
        <v>0.4</v>
      </c>
      <c r="L28" s="3">
        <f t="shared" si="0"/>
        <v>0</v>
      </c>
      <c r="M28"/>
      <c r="N28"/>
    </row>
    <row r="29" spans="1:14" x14ac:dyDescent="0.25">
      <c r="A29" s="11">
        <v>3</v>
      </c>
      <c r="B29" s="12" t="s">
        <v>7</v>
      </c>
      <c r="C29" s="12">
        <v>40100</v>
      </c>
      <c r="D29" s="12" t="s">
        <v>6</v>
      </c>
      <c r="E29" s="12">
        <v>2010</v>
      </c>
      <c r="F29" s="5">
        <v>6</v>
      </c>
      <c r="G29" s="4" t="s">
        <v>54</v>
      </c>
      <c r="H29" s="4" t="s">
        <v>55</v>
      </c>
      <c r="I29" s="7">
        <v>2.9000000000000001E-2</v>
      </c>
      <c r="J29" s="3">
        <v>14</v>
      </c>
      <c r="K29" s="8">
        <v>0.39</v>
      </c>
      <c r="L29" s="3">
        <f t="shared" si="0"/>
        <v>1</v>
      </c>
      <c r="M29"/>
      <c r="N29"/>
    </row>
    <row r="30" spans="1:14" x14ac:dyDescent="0.25">
      <c r="A30" s="11">
        <v>3</v>
      </c>
      <c r="B30" s="12" t="s">
        <v>7</v>
      </c>
      <c r="C30" s="12">
        <v>42649</v>
      </c>
      <c r="D30" s="12" t="s">
        <v>5</v>
      </c>
      <c r="E30" s="12">
        <v>2011</v>
      </c>
      <c r="F30" s="5">
        <v>6</v>
      </c>
      <c r="G30" s="4" t="s">
        <v>54</v>
      </c>
      <c r="H30" s="4" t="s">
        <v>55</v>
      </c>
      <c r="I30" s="7">
        <v>6.7000000000000002E-3</v>
      </c>
      <c r="J30" s="3">
        <v>15</v>
      </c>
      <c r="K30" s="8">
        <v>0.4</v>
      </c>
      <c r="L30" s="3">
        <f t="shared" si="0"/>
        <v>0</v>
      </c>
      <c r="M30"/>
      <c r="N30"/>
    </row>
    <row r="31" spans="1:14" x14ac:dyDescent="0.25">
      <c r="A31" s="11">
        <v>3</v>
      </c>
      <c r="B31" s="12" t="s">
        <v>7</v>
      </c>
      <c r="C31" s="12">
        <v>39360</v>
      </c>
      <c r="D31" s="12" t="s">
        <v>6</v>
      </c>
      <c r="E31" s="12">
        <v>2011</v>
      </c>
      <c r="F31" s="5">
        <v>6</v>
      </c>
      <c r="G31" s="4" t="s">
        <v>54</v>
      </c>
      <c r="H31" s="4" t="s">
        <v>55</v>
      </c>
      <c r="I31" s="7">
        <v>7.9000000000000008E-3</v>
      </c>
      <c r="J31" s="3">
        <v>15</v>
      </c>
      <c r="K31" s="8">
        <v>0.39</v>
      </c>
      <c r="L31" s="3">
        <f t="shared" si="0"/>
        <v>1</v>
      </c>
      <c r="M31"/>
      <c r="N31"/>
    </row>
    <row r="32" spans="1:14" x14ac:dyDescent="0.25">
      <c r="A32" s="11">
        <v>4</v>
      </c>
      <c r="B32" s="12" t="s">
        <v>12</v>
      </c>
      <c r="C32" s="12">
        <f>2872-861</f>
        <v>2011</v>
      </c>
      <c r="D32" s="12" t="s">
        <v>5</v>
      </c>
      <c r="E32" s="12">
        <v>2007</v>
      </c>
      <c r="F32" s="3">
        <v>3</v>
      </c>
      <c r="G32" s="4" t="s">
        <v>60</v>
      </c>
      <c r="H32" s="4" t="s">
        <v>46</v>
      </c>
      <c r="I32" s="7">
        <v>1.9599999999999999E-2</v>
      </c>
      <c r="J32" s="4">
        <v>14276</v>
      </c>
      <c r="K32" s="8">
        <v>0.69</v>
      </c>
      <c r="L32" s="3">
        <f t="shared" si="0"/>
        <v>0</v>
      </c>
      <c r="M32"/>
      <c r="N32"/>
    </row>
    <row r="33" spans="1:14" x14ac:dyDescent="0.25">
      <c r="A33" s="11">
        <v>4</v>
      </c>
      <c r="B33" s="12" t="s">
        <v>12</v>
      </c>
      <c r="C33" s="12">
        <v>50584</v>
      </c>
      <c r="D33" s="12" t="s">
        <v>6</v>
      </c>
      <c r="E33" s="12">
        <v>2007</v>
      </c>
      <c r="F33" s="5">
        <v>3</v>
      </c>
      <c r="G33" s="4" t="s">
        <v>60</v>
      </c>
      <c r="H33" s="4" t="s">
        <v>46</v>
      </c>
      <c r="I33" s="7">
        <v>1.44E-2</v>
      </c>
      <c r="J33" s="4">
        <v>14276</v>
      </c>
      <c r="K33" s="8">
        <v>0.34</v>
      </c>
      <c r="L33" s="3">
        <f t="shared" si="0"/>
        <v>1</v>
      </c>
      <c r="M33"/>
      <c r="N33"/>
    </row>
    <row r="34" spans="1:14" x14ac:dyDescent="0.25">
      <c r="A34" s="11">
        <v>4</v>
      </c>
      <c r="B34" s="12" t="s">
        <v>12</v>
      </c>
      <c r="C34" s="12">
        <f>4782-1431</f>
        <v>3351</v>
      </c>
      <c r="D34" s="12" t="s">
        <v>5</v>
      </c>
      <c r="E34" s="12">
        <v>2008</v>
      </c>
      <c r="F34" s="5">
        <v>3</v>
      </c>
      <c r="G34" s="4" t="s">
        <v>60</v>
      </c>
      <c r="H34" s="4" t="s">
        <v>46</v>
      </c>
      <c r="I34" s="7">
        <v>4.6899999999999997E-2</v>
      </c>
      <c r="J34" s="4">
        <v>15878</v>
      </c>
      <c r="K34" s="8">
        <v>0.69</v>
      </c>
      <c r="L34" s="3">
        <f t="shared" si="0"/>
        <v>0</v>
      </c>
      <c r="M34"/>
      <c r="N34"/>
    </row>
    <row r="35" spans="1:14" x14ac:dyDescent="0.25">
      <c r="A35" s="11">
        <v>4</v>
      </c>
      <c r="B35" s="12" t="s">
        <v>12</v>
      </c>
      <c r="C35" s="12">
        <v>51001</v>
      </c>
      <c r="D35" s="12" t="s">
        <v>6</v>
      </c>
      <c r="E35" s="12">
        <v>2008</v>
      </c>
      <c r="F35" s="5">
        <v>3</v>
      </c>
      <c r="G35" s="4" t="s">
        <v>60</v>
      </c>
      <c r="H35" s="4" t="s">
        <v>46</v>
      </c>
      <c r="I35" s="7">
        <v>-7.8799999999999995E-2</v>
      </c>
      <c r="J35" s="4">
        <v>15878</v>
      </c>
      <c r="K35" s="8">
        <v>0.34</v>
      </c>
      <c r="L35" s="3">
        <f t="shared" si="0"/>
        <v>1</v>
      </c>
      <c r="M35"/>
      <c r="N35"/>
    </row>
    <row r="36" spans="1:14" x14ac:dyDescent="0.25">
      <c r="A36" s="11">
        <v>4</v>
      </c>
      <c r="B36" s="12" t="s">
        <v>12</v>
      </c>
      <c r="C36" s="12">
        <f>5475-1520</f>
        <v>3955</v>
      </c>
      <c r="D36" s="12" t="s">
        <v>5</v>
      </c>
      <c r="E36" s="12">
        <v>2009</v>
      </c>
      <c r="F36" s="5">
        <v>3</v>
      </c>
      <c r="G36" s="4" t="s">
        <v>60</v>
      </c>
      <c r="H36" s="4" t="s">
        <v>46</v>
      </c>
      <c r="I36" s="7">
        <v>2.46E-2</v>
      </c>
      <c r="J36" s="4">
        <v>15804</v>
      </c>
      <c r="K36" s="8">
        <v>0.69</v>
      </c>
      <c r="L36" s="3">
        <f t="shared" si="0"/>
        <v>0</v>
      </c>
      <c r="M36"/>
      <c r="N36"/>
    </row>
    <row r="37" spans="1:14" x14ac:dyDescent="0.25">
      <c r="A37" s="11">
        <v>4</v>
      </c>
      <c r="B37" s="12" t="s">
        <v>12</v>
      </c>
      <c r="C37" s="12">
        <v>47765</v>
      </c>
      <c r="D37" s="12" t="s">
        <v>6</v>
      </c>
      <c r="E37" s="12">
        <v>2009</v>
      </c>
      <c r="F37" s="5">
        <v>3</v>
      </c>
      <c r="G37" s="4" t="s">
        <v>60</v>
      </c>
      <c r="H37" s="4" t="s">
        <v>46</v>
      </c>
      <c r="I37" s="7">
        <v>9.3299999999999994E-2</v>
      </c>
      <c r="J37" s="4">
        <v>15804</v>
      </c>
      <c r="K37" s="8">
        <v>0.34</v>
      </c>
      <c r="L37" s="3">
        <f t="shared" si="0"/>
        <v>1</v>
      </c>
      <c r="M37"/>
      <c r="N37"/>
    </row>
    <row r="38" spans="1:14" x14ac:dyDescent="0.25">
      <c r="A38" s="11">
        <v>4</v>
      </c>
      <c r="B38" s="12" t="s">
        <v>12</v>
      </c>
      <c r="C38" s="12">
        <f>5809-1578</f>
        <v>4231</v>
      </c>
      <c r="D38" s="12" t="s">
        <v>5</v>
      </c>
      <c r="E38" s="12">
        <v>2010</v>
      </c>
      <c r="F38" s="5">
        <v>3</v>
      </c>
      <c r="G38" s="4" t="s">
        <v>60</v>
      </c>
      <c r="H38" s="4" t="s">
        <v>46</v>
      </c>
      <c r="I38" s="7">
        <v>7.6E-3</v>
      </c>
      <c r="J38" s="4">
        <v>15697</v>
      </c>
      <c r="K38" s="8">
        <v>0.69</v>
      </c>
      <c r="L38" s="3">
        <f t="shared" si="0"/>
        <v>0</v>
      </c>
      <c r="M38"/>
      <c r="N38"/>
    </row>
    <row r="39" spans="1:14" x14ac:dyDescent="0.25">
      <c r="A39" s="11">
        <v>4</v>
      </c>
      <c r="B39" s="12" t="s">
        <v>12</v>
      </c>
      <c r="C39" s="12">
        <v>44327</v>
      </c>
      <c r="D39" s="12" t="s">
        <v>6</v>
      </c>
      <c r="E39" s="12">
        <v>2010</v>
      </c>
      <c r="F39" s="5">
        <v>3</v>
      </c>
      <c r="G39" s="4" t="s">
        <v>60</v>
      </c>
      <c r="H39" s="4" t="s">
        <v>46</v>
      </c>
      <c r="I39" s="7">
        <v>2.9899999999999999E-2</v>
      </c>
      <c r="J39" s="4">
        <v>15697</v>
      </c>
      <c r="K39" s="8">
        <v>0.34</v>
      </c>
      <c r="L39" s="3">
        <f t="shared" si="0"/>
        <v>1</v>
      </c>
      <c r="M39"/>
      <c r="N39"/>
    </row>
    <row r="40" spans="1:14" x14ac:dyDescent="0.25">
      <c r="A40" s="11">
        <v>4</v>
      </c>
      <c r="B40" s="12" t="s">
        <v>12</v>
      </c>
      <c r="C40" s="12">
        <v>3615</v>
      </c>
      <c r="D40" s="12" t="s">
        <v>5</v>
      </c>
      <c r="E40" s="12">
        <v>2011</v>
      </c>
      <c r="F40" s="5">
        <v>3</v>
      </c>
      <c r="G40" s="4" t="s">
        <v>60</v>
      </c>
      <c r="H40" s="4" t="s">
        <v>46</v>
      </c>
      <c r="I40" s="7">
        <v>6.8999999999999999E-3</v>
      </c>
      <c r="J40" s="3">
        <v>15597</v>
      </c>
      <c r="K40" s="8">
        <v>0.69</v>
      </c>
      <c r="L40" s="3">
        <f t="shared" si="0"/>
        <v>0</v>
      </c>
      <c r="M40"/>
      <c r="N40"/>
    </row>
    <row r="41" spans="1:14" x14ac:dyDescent="0.25">
      <c r="A41" s="11">
        <v>4</v>
      </c>
      <c r="B41" s="12" t="s">
        <v>12</v>
      </c>
      <c r="C41" s="12">
        <v>41560</v>
      </c>
      <c r="D41" s="12" t="s">
        <v>6</v>
      </c>
      <c r="E41" s="12">
        <v>2011</v>
      </c>
      <c r="F41" s="5">
        <v>3</v>
      </c>
      <c r="G41" s="4" t="s">
        <v>60</v>
      </c>
      <c r="H41" s="4" t="s">
        <v>46</v>
      </c>
      <c r="I41" s="7">
        <v>-3.8999999999999998E-3</v>
      </c>
      <c r="J41" s="4">
        <v>15597</v>
      </c>
      <c r="K41" s="8">
        <v>0.34</v>
      </c>
      <c r="L41" s="3">
        <f t="shared" si="0"/>
        <v>1</v>
      </c>
      <c r="M41"/>
      <c r="N41"/>
    </row>
    <row r="42" spans="1:14" x14ac:dyDescent="0.25">
      <c r="A42" s="11">
        <v>5</v>
      </c>
      <c r="B42" s="12" t="s">
        <v>9</v>
      </c>
      <c r="C42" s="12">
        <f>8800-1167</f>
        <v>7633</v>
      </c>
      <c r="D42" s="12" t="s">
        <v>5</v>
      </c>
      <c r="E42" s="12">
        <v>2007</v>
      </c>
      <c r="F42" s="5">
        <v>4</v>
      </c>
      <c r="G42" s="4" t="s">
        <v>61</v>
      </c>
      <c r="H42" s="4" t="s">
        <v>48</v>
      </c>
      <c r="I42" s="7">
        <v>0.03</v>
      </c>
      <c r="J42" s="4">
        <v>765</v>
      </c>
      <c r="K42" s="8">
        <v>0.75</v>
      </c>
      <c r="L42" s="3">
        <f t="shared" si="0"/>
        <v>0</v>
      </c>
      <c r="M42"/>
      <c r="N42"/>
    </row>
    <row r="43" spans="1:14" x14ac:dyDescent="0.25">
      <c r="A43" s="11">
        <v>5</v>
      </c>
      <c r="B43" s="12" t="s">
        <v>9</v>
      </c>
      <c r="C43" s="12">
        <v>30252</v>
      </c>
      <c r="D43" s="12" t="s">
        <v>10</v>
      </c>
      <c r="E43" s="12">
        <v>2007</v>
      </c>
      <c r="F43" s="3">
        <v>4</v>
      </c>
      <c r="G43" s="4" t="s">
        <v>61</v>
      </c>
      <c r="H43" s="4" t="s">
        <v>48</v>
      </c>
      <c r="I43" s="7">
        <v>8.2000000000000007E-3</v>
      </c>
      <c r="J43" s="4">
        <v>765</v>
      </c>
      <c r="K43" s="8">
        <v>0.57999999999999996</v>
      </c>
      <c r="L43" s="3">
        <f t="shared" si="0"/>
        <v>1</v>
      </c>
      <c r="M43"/>
      <c r="N43"/>
    </row>
    <row r="44" spans="1:14" x14ac:dyDescent="0.25">
      <c r="A44" s="11">
        <v>5</v>
      </c>
      <c r="B44" s="12" t="s">
        <v>9</v>
      </c>
      <c r="C44" s="12">
        <f>13314-2478</f>
        <v>10836</v>
      </c>
      <c r="D44" s="12" t="s">
        <v>5</v>
      </c>
      <c r="E44" s="12">
        <v>2008</v>
      </c>
      <c r="F44" s="5">
        <v>4</v>
      </c>
      <c r="G44" s="4" t="s">
        <v>61</v>
      </c>
      <c r="H44" s="4" t="s">
        <v>48</v>
      </c>
      <c r="I44" s="4">
        <v>2.2200000000000001E-2</v>
      </c>
      <c r="J44" s="4">
        <v>961</v>
      </c>
      <c r="K44" s="8">
        <v>0.75</v>
      </c>
      <c r="L44" s="3">
        <f t="shared" si="0"/>
        <v>0</v>
      </c>
      <c r="M44"/>
      <c r="N44"/>
    </row>
    <row r="45" spans="1:14" x14ac:dyDescent="0.25">
      <c r="A45" s="11">
        <v>5</v>
      </c>
      <c r="B45" s="12" t="s">
        <v>9</v>
      </c>
      <c r="C45" s="12">
        <v>32024</v>
      </c>
      <c r="D45" s="12" t="s">
        <v>6</v>
      </c>
      <c r="E45" s="12">
        <v>2008</v>
      </c>
      <c r="F45" s="5">
        <v>4</v>
      </c>
      <c r="G45" s="4" t="s">
        <v>61</v>
      </c>
      <c r="H45" s="4" t="s">
        <v>48</v>
      </c>
      <c r="I45" s="4">
        <v>-0.08</v>
      </c>
      <c r="J45" s="4">
        <v>961</v>
      </c>
      <c r="K45" s="8">
        <v>0.57999999999999996</v>
      </c>
      <c r="L45" s="3">
        <f t="shared" si="0"/>
        <v>1</v>
      </c>
      <c r="M45"/>
      <c r="N45"/>
    </row>
    <row r="46" spans="1:14" x14ac:dyDescent="0.25">
      <c r="A46" s="11">
        <v>5</v>
      </c>
      <c r="B46" s="12" t="s">
        <v>9</v>
      </c>
      <c r="C46" s="12">
        <f>15628-1563</f>
        <v>14065</v>
      </c>
      <c r="D46" s="12" t="s">
        <v>5</v>
      </c>
      <c r="E46" s="12">
        <v>2009</v>
      </c>
      <c r="F46" s="5">
        <v>4</v>
      </c>
      <c r="G46" s="4" t="s">
        <v>61</v>
      </c>
      <c r="H46" s="4" t="s">
        <v>48</v>
      </c>
      <c r="I46" s="4">
        <v>4.07E-2</v>
      </c>
      <c r="J46" s="4">
        <v>1020</v>
      </c>
      <c r="K46" s="8">
        <v>0.75</v>
      </c>
      <c r="L46" s="3">
        <f t="shared" si="0"/>
        <v>0</v>
      </c>
      <c r="M46"/>
      <c r="N46"/>
    </row>
    <row r="47" spans="1:14" x14ac:dyDescent="0.25">
      <c r="A47" s="11">
        <v>5</v>
      </c>
      <c r="B47" s="12" t="s">
        <v>9</v>
      </c>
      <c r="C47" s="12">
        <v>31577</v>
      </c>
      <c r="D47" s="12" t="s">
        <v>6</v>
      </c>
      <c r="E47" s="12">
        <v>2009</v>
      </c>
      <c r="F47" s="5">
        <v>4</v>
      </c>
      <c r="G47" s="4" t="s">
        <v>61</v>
      </c>
      <c r="H47" s="4" t="s">
        <v>48</v>
      </c>
      <c r="I47" s="4">
        <v>9.5299999999999996E-2</v>
      </c>
      <c r="J47" s="4">
        <v>1020</v>
      </c>
      <c r="K47" s="8">
        <v>0.57999999999999996</v>
      </c>
      <c r="L47" s="3">
        <f t="shared" si="0"/>
        <v>1</v>
      </c>
      <c r="M47"/>
      <c r="N47"/>
    </row>
    <row r="48" spans="1:14" x14ac:dyDescent="0.25">
      <c r="A48" s="11">
        <v>5</v>
      </c>
      <c r="B48" s="12" t="s">
        <v>9</v>
      </c>
      <c r="C48" s="12">
        <f>17732-1537</f>
        <v>16195</v>
      </c>
      <c r="D48" s="12" t="s">
        <v>5</v>
      </c>
      <c r="E48" s="12">
        <v>2010</v>
      </c>
      <c r="F48" s="5">
        <v>4</v>
      </c>
      <c r="G48" s="4" t="s">
        <v>61</v>
      </c>
      <c r="H48" s="4" t="s">
        <v>48</v>
      </c>
      <c r="I48" s="4">
        <v>-1E-4</v>
      </c>
      <c r="J48" s="4">
        <v>1079</v>
      </c>
      <c r="K48" s="8">
        <v>0.75</v>
      </c>
      <c r="L48" s="3">
        <f t="shared" si="0"/>
        <v>0</v>
      </c>
      <c r="M48"/>
      <c r="N48"/>
    </row>
    <row r="49" spans="1:14" x14ac:dyDescent="0.25">
      <c r="A49" s="11">
        <v>5</v>
      </c>
      <c r="B49" s="12" t="s">
        <v>9</v>
      </c>
      <c r="C49" s="12">
        <v>31229</v>
      </c>
      <c r="D49" s="12" t="s">
        <v>6</v>
      </c>
      <c r="E49" s="12">
        <v>2010</v>
      </c>
      <c r="F49" s="5">
        <v>4</v>
      </c>
      <c r="G49" s="4" t="s">
        <v>61</v>
      </c>
      <c r="H49" s="4" t="s">
        <v>48</v>
      </c>
      <c r="I49" s="4">
        <v>4.6600000000000003E-2</v>
      </c>
      <c r="J49" s="4">
        <v>1079</v>
      </c>
      <c r="K49" s="8">
        <v>0.57999999999999996</v>
      </c>
      <c r="L49" s="3">
        <f t="shared" si="0"/>
        <v>1</v>
      </c>
      <c r="M49"/>
      <c r="N49"/>
    </row>
    <row r="50" spans="1:14" x14ac:dyDescent="0.25">
      <c r="A50" s="11">
        <v>5</v>
      </c>
      <c r="B50" s="12" t="s">
        <v>9</v>
      </c>
      <c r="C50" s="12">
        <v>17402</v>
      </c>
      <c r="D50" s="12" t="s">
        <v>5</v>
      </c>
      <c r="E50" s="12">
        <v>2011</v>
      </c>
      <c r="F50" s="5">
        <v>4</v>
      </c>
      <c r="G50" s="4" t="s">
        <v>61</v>
      </c>
      <c r="H50" s="4" t="s">
        <v>48</v>
      </c>
      <c r="I50" s="4">
        <v>1.83E-3</v>
      </c>
      <c r="J50" s="3">
        <v>1116</v>
      </c>
      <c r="K50" s="8">
        <v>0.75</v>
      </c>
      <c r="L50" s="3">
        <f t="shared" si="0"/>
        <v>0</v>
      </c>
      <c r="M50"/>
      <c r="N50"/>
    </row>
    <row r="51" spans="1:14" x14ac:dyDescent="0.25">
      <c r="A51" s="11">
        <v>5</v>
      </c>
      <c r="B51" s="12" t="s">
        <v>9</v>
      </c>
      <c r="C51" s="12">
        <v>30995</v>
      </c>
      <c r="D51" s="12" t="s">
        <v>6</v>
      </c>
      <c r="E51" s="12">
        <v>2011</v>
      </c>
      <c r="F51" s="5">
        <v>4</v>
      </c>
      <c r="G51" s="4" t="s">
        <v>61</v>
      </c>
      <c r="H51" s="4" t="s">
        <v>48</v>
      </c>
      <c r="I51" s="4">
        <v>6.9999999999999999E-4</v>
      </c>
      <c r="J51" s="3">
        <v>1116</v>
      </c>
      <c r="K51" s="8">
        <v>0.57999999999999996</v>
      </c>
      <c r="L51" s="3">
        <f t="shared" si="0"/>
        <v>1</v>
      </c>
      <c r="M51"/>
      <c r="N51"/>
    </row>
    <row r="52" spans="1:14" x14ac:dyDescent="0.25">
      <c r="A52" s="11">
        <v>6</v>
      </c>
      <c r="B52" s="12" t="s">
        <v>11</v>
      </c>
      <c r="C52" s="12">
        <v>0</v>
      </c>
      <c r="D52" s="12" t="s">
        <v>5</v>
      </c>
      <c r="E52" s="12">
        <v>2007</v>
      </c>
      <c r="F52" s="3">
        <v>1</v>
      </c>
      <c r="G52" s="4" t="s">
        <v>63</v>
      </c>
      <c r="H52" s="4" t="s">
        <v>55</v>
      </c>
      <c r="I52" s="4">
        <v>1.9599999999999999E-2</v>
      </c>
      <c r="J52" s="4">
        <v>934</v>
      </c>
      <c r="K52" s="8">
        <v>0.79</v>
      </c>
      <c r="L52" s="3">
        <f t="shared" si="0"/>
        <v>0</v>
      </c>
      <c r="M52"/>
      <c r="N52"/>
    </row>
    <row r="53" spans="1:14" x14ac:dyDescent="0.25">
      <c r="A53" s="11">
        <v>6</v>
      </c>
      <c r="B53" s="12" t="s">
        <v>11</v>
      </c>
      <c r="C53" s="12">
        <v>6052</v>
      </c>
      <c r="D53" s="12" t="s">
        <v>6</v>
      </c>
      <c r="E53" s="12">
        <v>2007</v>
      </c>
      <c r="F53" s="5">
        <v>1</v>
      </c>
      <c r="G53" s="4" t="s">
        <v>63</v>
      </c>
      <c r="H53" s="4" t="s">
        <v>55</v>
      </c>
      <c r="I53" s="4">
        <v>1.44E-2</v>
      </c>
      <c r="J53" s="4">
        <v>934</v>
      </c>
      <c r="K53" s="8">
        <v>0.47</v>
      </c>
      <c r="L53" s="3">
        <f t="shared" si="0"/>
        <v>1</v>
      </c>
      <c r="M53"/>
      <c r="N53"/>
    </row>
    <row r="54" spans="1:14" x14ac:dyDescent="0.25">
      <c r="A54" s="11">
        <v>6</v>
      </c>
      <c r="B54" s="12" t="s">
        <v>11</v>
      </c>
      <c r="C54" s="12">
        <f>2030-1870</f>
        <v>160</v>
      </c>
      <c r="D54" s="12" t="s">
        <v>5</v>
      </c>
      <c r="E54" s="12">
        <v>2008</v>
      </c>
      <c r="F54" s="5">
        <v>1</v>
      </c>
      <c r="G54" s="4" t="s">
        <v>63</v>
      </c>
      <c r="H54" s="4" t="s">
        <v>55</v>
      </c>
      <c r="I54" s="4">
        <v>4.7199999999999999E-2</v>
      </c>
      <c r="J54" s="4">
        <v>1107</v>
      </c>
      <c r="K54" s="8">
        <v>0.79</v>
      </c>
      <c r="L54" s="3">
        <f t="shared" si="0"/>
        <v>0</v>
      </c>
      <c r="M54"/>
      <c r="N54"/>
    </row>
    <row r="55" spans="1:14" x14ac:dyDescent="0.25">
      <c r="A55" s="11">
        <v>6</v>
      </c>
      <c r="B55" s="12" t="s">
        <v>11</v>
      </c>
      <c r="C55" s="12">
        <v>6513</v>
      </c>
      <c r="D55" s="12" t="s">
        <v>6</v>
      </c>
      <c r="E55" s="12">
        <v>2008</v>
      </c>
      <c r="F55" s="5">
        <v>1</v>
      </c>
      <c r="G55" s="4" t="s">
        <v>63</v>
      </c>
      <c r="H55" s="4" t="s">
        <v>55</v>
      </c>
      <c r="I55" s="4">
        <v>-7.9899999999999999E-2</v>
      </c>
      <c r="J55" s="4">
        <v>1107</v>
      </c>
      <c r="K55" s="8">
        <v>0.47</v>
      </c>
      <c r="L55" s="3">
        <f t="shared" si="0"/>
        <v>1</v>
      </c>
      <c r="M55"/>
      <c r="N55"/>
    </row>
    <row r="56" spans="1:14" x14ac:dyDescent="0.25">
      <c r="A56" s="11">
        <v>6</v>
      </c>
      <c r="B56" s="12" t="s">
        <v>11</v>
      </c>
      <c r="C56" s="12">
        <f>2364-2030</f>
        <v>334</v>
      </c>
      <c r="D56" s="12" t="s">
        <v>5</v>
      </c>
      <c r="E56" s="12">
        <v>2009</v>
      </c>
      <c r="F56" s="5">
        <v>1</v>
      </c>
      <c r="G56" s="4" t="s">
        <v>63</v>
      </c>
      <c r="H56" s="4" t="s">
        <v>55</v>
      </c>
      <c r="I56" s="4">
        <v>2.5499999999999998E-2</v>
      </c>
      <c r="J56" s="4">
        <v>1197</v>
      </c>
      <c r="K56" s="8">
        <v>0.79</v>
      </c>
      <c r="L56" s="3">
        <f t="shared" si="0"/>
        <v>0</v>
      </c>
      <c r="M56"/>
      <c r="N56"/>
    </row>
    <row r="57" spans="1:14" x14ac:dyDescent="0.25">
      <c r="A57" s="11">
        <v>6</v>
      </c>
      <c r="B57" s="12" t="s">
        <v>11</v>
      </c>
      <c r="C57" s="12">
        <v>6433</v>
      </c>
      <c r="D57" s="12" t="s">
        <v>6</v>
      </c>
      <c r="E57" s="12">
        <v>2009</v>
      </c>
      <c r="F57" s="3">
        <v>1</v>
      </c>
      <c r="G57" s="4" t="s">
        <v>63</v>
      </c>
      <c r="H57" s="4" t="s">
        <v>55</v>
      </c>
      <c r="I57" s="4">
        <v>0.1018</v>
      </c>
      <c r="J57" s="4">
        <v>1197</v>
      </c>
      <c r="K57" s="8">
        <v>0.47</v>
      </c>
      <c r="L57" s="3">
        <f t="shared" si="0"/>
        <v>1</v>
      </c>
      <c r="M57"/>
      <c r="N57"/>
    </row>
    <row r="58" spans="1:14" x14ac:dyDescent="0.25">
      <c r="A58" s="11">
        <v>6</v>
      </c>
      <c r="B58" s="12" t="s">
        <v>11</v>
      </c>
      <c r="C58" s="12">
        <f>2370-2030</f>
        <v>340</v>
      </c>
      <c r="D58" s="12" t="s">
        <v>5</v>
      </c>
      <c r="E58" s="12">
        <v>2010</v>
      </c>
      <c r="F58" s="3">
        <v>1</v>
      </c>
      <c r="G58" s="4" t="s">
        <v>63</v>
      </c>
      <c r="H58" s="4" t="s">
        <v>55</v>
      </c>
      <c r="I58" s="4">
        <v>7.7999999999999996E-3</v>
      </c>
      <c r="J58" s="4">
        <v>1312</v>
      </c>
      <c r="K58" s="8">
        <v>0.79</v>
      </c>
      <c r="L58" s="3">
        <f t="shared" si="0"/>
        <v>0</v>
      </c>
      <c r="M58"/>
      <c r="N58"/>
    </row>
    <row r="59" spans="1:14" x14ac:dyDescent="0.25">
      <c r="A59" s="11">
        <v>6</v>
      </c>
      <c r="B59" s="12" t="s">
        <v>11</v>
      </c>
      <c r="C59" s="12">
        <v>6590</v>
      </c>
      <c r="D59" s="12" t="s">
        <v>6</v>
      </c>
      <c r="E59" s="12">
        <v>2010</v>
      </c>
      <c r="F59" s="3">
        <v>1</v>
      </c>
      <c r="G59" s="4" t="s">
        <v>63</v>
      </c>
      <c r="H59" s="4" t="s">
        <v>55</v>
      </c>
      <c r="I59" s="4">
        <v>3.2300000000000002E-2</v>
      </c>
      <c r="J59" s="4">
        <v>1312</v>
      </c>
      <c r="K59" s="8">
        <v>0.47</v>
      </c>
      <c r="L59" s="3">
        <f t="shared" si="0"/>
        <v>1</v>
      </c>
      <c r="M59"/>
      <c r="N59"/>
    </row>
    <row r="60" spans="1:14" x14ac:dyDescent="0.25">
      <c r="A60" s="11">
        <v>6</v>
      </c>
      <c r="B60" s="12" t="s">
        <v>71</v>
      </c>
      <c r="C60" s="12">
        <v>539</v>
      </c>
      <c r="D60" s="12" t="s">
        <v>5</v>
      </c>
      <c r="E60" s="12">
        <v>2011</v>
      </c>
      <c r="F60" s="3">
        <v>1</v>
      </c>
      <c r="G60" s="4" t="s">
        <v>63</v>
      </c>
      <c r="H60" s="4" t="s">
        <v>55</v>
      </c>
      <c r="I60" s="4">
        <v>1.34E-2</v>
      </c>
      <c r="J60" s="3">
        <v>1449</v>
      </c>
      <c r="K60" s="8">
        <v>0.79</v>
      </c>
      <c r="L60" s="3">
        <f t="shared" si="0"/>
        <v>0</v>
      </c>
      <c r="M60"/>
      <c r="N60"/>
    </row>
    <row r="61" spans="1:14" x14ac:dyDescent="0.25">
      <c r="A61" s="11">
        <v>6</v>
      </c>
      <c r="B61" s="12" t="s">
        <v>11</v>
      </c>
      <c r="C61" s="12">
        <v>6278</v>
      </c>
      <c r="D61" s="12" t="s">
        <v>6</v>
      </c>
      <c r="E61" s="12">
        <v>2011</v>
      </c>
      <c r="F61" s="3">
        <v>1</v>
      </c>
      <c r="G61" s="4" t="s">
        <v>63</v>
      </c>
      <c r="H61" s="4" t="s">
        <v>55</v>
      </c>
      <c r="I61" s="4">
        <v>-1.06E-2</v>
      </c>
      <c r="J61" s="4">
        <v>1449</v>
      </c>
      <c r="K61" s="8">
        <v>0.47</v>
      </c>
      <c r="L61" s="3">
        <f t="shared" si="0"/>
        <v>1</v>
      </c>
      <c r="M61"/>
      <c r="N61"/>
    </row>
    <row r="62" spans="1:14" x14ac:dyDescent="0.25">
      <c r="I62" s="7"/>
      <c r="J62" s="3"/>
      <c r="K62" s="8"/>
      <c r="M62"/>
      <c r="N62"/>
    </row>
    <row r="63" spans="1:14" x14ac:dyDescent="0.25">
      <c r="I63" s="7"/>
      <c r="J63" s="3"/>
      <c r="K63" s="8"/>
      <c r="M63"/>
      <c r="N63"/>
    </row>
    <row r="64" spans="1:14" x14ac:dyDescent="0.25">
      <c r="I64" s="7"/>
      <c r="J64" s="3"/>
      <c r="K64" s="8"/>
      <c r="M64"/>
      <c r="N64"/>
    </row>
    <row r="65" spans="9:11" customFormat="1" x14ac:dyDescent="0.25">
      <c r="I65" s="7"/>
      <c r="J65" s="3"/>
      <c r="K65" s="8"/>
    </row>
    <row r="66" spans="9:11" customFormat="1" x14ac:dyDescent="0.25">
      <c r="I66" s="7"/>
      <c r="J66" s="3"/>
      <c r="K66" s="8"/>
    </row>
    <row r="67" spans="9:11" customFormat="1" x14ac:dyDescent="0.25">
      <c r="I67" s="4"/>
      <c r="J67" s="3"/>
      <c r="K67" s="8"/>
    </row>
    <row r="68" spans="9:11" customFormat="1" x14ac:dyDescent="0.25">
      <c r="I68" s="4"/>
      <c r="J68" s="3"/>
      <c r="K68" s="8"/>
    </row>
    <row r="69" spans="9:11" customFormat="1" x14ac:dyDescent="0.25">
      <c r="I69" s="4"/>
      <c r="J69" s="3"/>
      <c r="K69" s="8"/>
    </row>
    <row r="70" spans="9:11" customFormat="1" x14ac:dyDescent="0.25">
      <c r="I70" s="4"/>
      <c r="J70" s="3"/>
      <c r="K70" s="8"/>
    </row>
    <row r="71" spans="9:11" customFormat="1" x14ac:dyDescent="0.25">
      <c r="I71" s="4"/>
      <c r="J71" s="3"/>
      <c r="K71" s="8"/>
    </row>
    <row r="72" spans="9:11" customFormat="1" x14ac:dyDescent="0.25">
      <c r="I72" s="7"/>
      <c r="J72" s="3"/>
      <c r="K72" s="8"/>
    </row>
    <row r="73" spans="9:11" customFormat="1" x14ac:dyDescent="0.25">
      <c r="I73" s="7"/>
      <c r="J73" s="3"/>
      <c r="K73" s="8"/>
    </row>
    <row r="74" spans="9:11" customFormat="1" x14ac:dyDescent="0.25">
      <c r="I74" s="7"/>
      <c r="J74" s="3"/>
      <c r="K74" s="8"/>
    </row>
    <row r="75" spans="9:11" customFormat="1" x14ac:dyDescent="0.25">
      <c r="I75" s="7"/>
      <c r="J75" s="3"/>
      <c r="K75" s="8"/>
    </row>
    <row r="76" spans="9:11" customFormat="1" x14ac:dyDescent="0.25">
      <c r="I76" s="7"/>
      <c r="J76" s="3"/>
      <c r="K76" s="8"/>
    </row>
    <row r="77" spans="9:11" customFormat="1" x14ac:dyDescent="0.25">
      <c r="I77" s="7"/>
      <c r="J77" s="3"/>
      <c r="K77" s="8"/>
    </row>
    <row r="78" spans="9:11" customFormat="1" x14ac:dyDescent="0.25">
      <c r="I78" s="7"/>
      <c r="J78" s="3"/>
      <c r="K78" s="8"/>
    </row>
    <row r="79" spans="9:11" customFormat="1" x14ac:dyDescent="0.25">
      <c r="I79" s="7"/>
      <c r="J79" s="3"/>
      <c r="K79" s="8"/>
    </row>
    <row r="80" spans="9:11" customFormat="1" x14ac:dyDescent="0.25">
      <c r="I80" s="7"/>
      <c r="J80" s="3"/>
      <c r="K80" s="3"/>
    </row>
    <row r="81" spans="9:11" customFormat="1" x14ac:dyDescent="0.25">
      <c r="I81" s="7"/>
      <c r="J81" s="3"/>
      <c r="K81" s="3"/>
    </row>
    <row r="82" spans="9:11" customFormat="1" x14ac:dyDescent="0.25">
      <c r="I82" s="4"/>
      <c r="J82" s="3"/>
      <c r="K82" s="3"/>
    </row>
    <row r="83" spans="9:11" customFormat="1" x14ac:dyDescent="0.25">
      <c r="I83" s="4"/>
      <c r="J83" s="3"/>
      <c r="K83" s="3"/>
    </row>
    <row r="84" spans="9:11" customFormat="1" x14ac:dyDescent="0.25">
      <c r="I84" s="4"/>
      <c r="J84" s="3"/>
      <c r="K84" s="3"/>
    </row>
    <row r="85" spans="9:11" customFormat="1" x14ac:dyDescent="0.25">
      <c r="I85" s="4"/>
      <c r="J85" s="3"/>
      <c r="K85" s="3"/>
    </row>
    <row r="86" spans="9:11" customFormat="1" x14ac:dyDescent="0.25">
      <c r="I86" s="4"/>
      <c r="J86" s="3"/>
      <c r="K86" s="3"/>
    </row>
    <row r="87" spans="9:11" customFormat="1" x14ac:dyDescent="0.25">
      <c r="I87" s="7"/>
      <c r="J87" s="3"/>
      <c r="K87" s="3"/>
    </row>
    <row r="88" spans="9:11" customFormat="1" x14ac:dyDescent="0.25">
      <c r="I88" s="7"/>
      <c r="J88" s="3"/>
      <c r="K88" s="3"/>
    </row>
    <row r="89" spans="9:11" customFormat="1" x14ac:dyDescent="0.25">
      <c r="I89" s="7"/>
      <c r="J89" s="3"/>
      <c r="K89" s="3"/>
    </row>
    <row r="90" spans="9:11" customFormat="1" x14ac:dyDescent="0.25">
      <c r="I90" s="7"/>
      <c r="J90" s="3"/>
      <c r="K90" s="3"/>
    </row>
    <row r="91" spans="9:11" customFormat="1" x14ac:dyDescent="0.25">
      <c r="I91" s="7"/>
      <c r="J91" s="3"/>
      <c r="K91" s="3"/>
    </row>
    <row r="92" spans="9:11" customFormat="1" x14ac:dyDescent="0.25">
      <c r="I92" s="7"/>
      <c r="J92" s="3"/>
      <c r="K92" s="3"/>
    </row>
    <row r="93" spans="9:11" customFormat="1" x14ac:dyDescent="0.25">
      <c r="I93" s="7"/>
      <c r="J93" s="3"/>
      <c r="K93" s="3"/>
    </row>
    <row r="94" spans="9:11" customFormat="1" x14ac:dyDescent="0.25">
      <c r="I94" s="7"/>
      <c r="J94" s="3"/>
      <c r="K94" s="3"/>
    </row>
    <row r="95" spans="9:11" customFormat="1" x14ac:dyDescent="0.25">
      <c r="I95" s="7"/>
      <c r="J95" s="3"/>
      <c r="K95" s="3"/>
    </row>
    <row r="96" spans="9:11" customFormat="1" x14ac:dyDescent="0.25">
      <c r="I96" s="7"/>
      <c r="J96" s="3"/>
      <c r="K96" s="3"/>
    </row>
    <row r="97" spans="9:11" customFormat="1" x14ac:dyDescent="0.25">
      <c r="I97" s="7"/>
      <c r="J97" s="3"/>
      <c r="K97" s="3"/>
    </row>
    <row r="98" spans="9:11" customFormat="1" x14ac:dyDescent="0.25">
      <c r="I98" s="7"/>
      <c r="J98" s="3"/>
      <c r="K98" s="3"/>
    </row>
    <row r="99" spans="9:11" customFormat="1" x14ac:dyDescent="0.25">
      <c r="I99" s="7"/>
      <c r="J99" s="3"/>
      <c r="K99" s="3"/>
    </row>
    <row r="100" spans="9:11" customFormat="1" x14ac:dyDescent="0.25">
      <c r="I100" s="7"/>
      <c r="J100" s="3"/>
      <c r="K100" s="3"/>
    </row>
    <row r="101" spans="9:11" customFormat="1" x14ac:dyDescent="0.25">
      <c r="I101" s="7"/>
      <c r="J101" s="3"/>
      <c r="K101" s="3"/>
    </row>
    <row r="102" spans="9:11" customFormat="1" x14ac:dyDescent="0.25">
      <c r="I102" s="7"/>
      <c r="J102" s="3"/>
      <c r="K102" s="3"/>
    </row>
    <row r="103" spans="9:11" customFormat="1" x14ac:dyDescent="0.25">
      <c r="I103" s="7"/>
      <c r="J103" s="3"/>
      <c r="K103" s="3"/>
    </row>
    <row r="104" spans="9:11" customFormat="1" x14ac:dyDescent="0.25">
      <c r="I104" s="7"/>
      <c r="J104" s="3"/>
      <c r="K104" s="3"/>
    </row>
    <row r="105" spans="9:11" customFormat="1" x14ac:dyDescent="0.25">
      <c r="I105" s="7"/>
      <c r="J105" s="3"/>
      <c r="K105" s="3"/>
    </row>
    <row r="106" spans="9:11" customFormat="1" x14ac:dyDescent="0.25">
      <c r="I106" s="7"/>
      <c r="J106" s="3"/>
      <c r="K106" s="3"/>
    </row>
    <row r="107" spans="9:11" customFormat="1" x14ac:dyDescent="0.25">
      <c r="I107" s="4"/>
      <c r="J107" s="3"/>
      <c r="K107" s="3"/>
    </row>
    <row r="108" spans="9:11" customFormat="1" x14ac:dyDescent="0.25">
      <c r="I108" s="4"/>
      <c r="J108" s="3"/>
      <c r="K108" s="3"/>
    </row>
    <row r="109" spans="9:11" customFormat="1" x14ac:dyDescent="0.25">
      <c r="I109" s="4"/>
      <c r="J109" s="3"/>
      <c r="K109" s="3"/>
    </row>
    <row r="110" spans="9:11" customFormat="1" x14ac:dyDescent="0.25">
      <c r="I110" s="4"/>
      <c r="J110" s="3"/>
      <c r="K110" s="3"/>
    </row>
    <row r="111" spans="9:11" customFormat="1" x14ac:dyDescent="0.25">
      <c r="I111" s="4"/>
      <c r="J111" s="3"/>
      <c r="K111" s="3"/>
    </row>
    <row r="112" spans="9:11" customFormat="1" x14ac:dyDescent="0.25">
      <c r="I112" s="7"/>
      <c r="J112" s="3"/>
      <c r="K112" s="3"/>
    </row>
    <row r="113" spans="9:11" customFormat="1" x14ac:dyDescent="0.25">
      <c r="I113" s="7"/>
      <c r="J113" s="3"/>
      <c r="K113" s="3"/>
    </row>
    <row r="114" spans="9:11" customFormat="1" x14ac:dyDescent="0.25">
      <c r="I114" s="7"/>
      <c r="J114" s="3"/>
      <c r="K114" s="3"/>
    </row>
    <row r="115" spans="9:11" customFormat="1" x14ac:dyDescent="0.25">
      <c r="I115" s="7"/>
      <c r="J115" s="3"/>
      <c r="K115" s="3"/>
    </row>
    <row r="116" spans="9:11" customFormat="1" x14ac:dyDescent="0.25">
      <c r="I116" s="7"/>
      <c r="J116" s="3"/>
      <c r="K116" s="3"/>
    </row>
    <row r="117" spans="9:11" customFormat="1" x14ac:dyDescent="0.25">
      <c r="I117" s="7"/>
      <c r="J117" s="3"/>
      <c r="K117" s="3"/>
    </row>
    <row r="118" spans="9:11" customFormat="1" x14ac:dyDescent="0.25">
      <c r="I118" s="7"/>
      <c r="J118" s="3"/>
      <c r="K118" s="3"/>
    </row>
    <row r="119" spans="9:11" customFormat="1" x14ac:dyDescent="0.25">
      <c r="I119" s="7"/>
      <c r="J119" s="3"/>
      <c r="K119" s="3"/>
    </row>
    <row r="120" spans="9:11" customFormat="1" x14ac:dyDescent="0.25">
      <c r="I120" s="7"/>
      <c r="J120" s="3"/>
      <c r="K120" s="3"/>
    </row>
    <row r="121" spans="9:11" customFormat="1" x14ac:dyDescent="0.25">
      <c r="I121" s="7"/>
      <c r="J121" s="3"/>
      <c r="K121" s="3"/>
    </row>
    <row r="122" spans="9:11" customFormat="1" x14ac:dyDescent="0.25">
      <c r="I122" s="4"/>
      <c r="J122" s="3"/>
      <c r="K122" s="3"/>
    </row>
    <row r="123" spans="9:11" customFormat="1" x14ac:dyDescent="0.25">
      <c r="I123" s="4"/>
      <c r="J123" s="3"/>
      <c r="K123" s="3"/>
    </row>
    <row r="124" spans="9:11" customFormat="1" x14ac:dyDescent="0.25">
      <c r="I124" s="4"/>
      <c r="J124" s="3"/>
      <c r="K124" s="3"/>
    </row>
    <row r="125" spans="9:11" customFormat="1" x14ac:dyDescent="0.25">
      <c r="I125" s="4"/>
      <c r="J125" s="3"/>
      <c r="K125" s="3"/>
    </row>
    <row r="126" spans="9:11" customFormat="1" x14ac:dyDescent="0.25">
      <c r="I126" s="4"/>
      <c r="J126" s="3"/>
      <c r="K126" s="3"/>
    </row>
    <row r="127" spans="9:11" customFormat="1" x14ac:dyDescent="0.25">
      <c r="I127" s="7"/>
      <c r="J127" s="3"/>
      <c r="K127" s="3"/>
    </row>
    <row r="128" spans="9:11" customFormat="1" x14ac:dyDescent="0.25">
      <c r="I128" s="7"/>
      <c r="J128" s="3"/>
      <c r="K128" s="3"/>
    </row>
    <row r="129" spans="9:11" customFormat="1" x14ac:dyDescent="0.25">
      <c r="I129" s="7"/>
      <c r="J129" s="3"/>
      <c r="K129" s="3"/>
    </row>
    <row r="130" spans="9:11" customFormat="1" x14ac:dyDescent="0.25">
      <c r="I130" s="7"/>
      <c r="J130" s="3"/>
      <c r="K130" s="3"/>
    </row>
    <row r="131" spans="9:11" customFormat="1" x14ac:dyDescent="0.25">
      <c r="I131" s="7"/>
      <c r="J131" s="3"/>
      <c r="K131" s="3"/>
    </row>
  </sheetData>
  <sortState ref="A52:L61">
    <sortCondition ref="E52:E61"/>
    <sortCondition descending="1" ref="D52:D61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96"/>
  <sheetViews>
    <sheetView topLeftCell="A116" workbookViewId="0">
      <selection activeCell="N156" sqref="N156:N159"/>
    </sheetView>
  </sheetViews>
  <sheetFormatPr defaultRowHeight="15" x14ac:dyDescent="0.25"/>
  <cols>
    <col min="1" max="7" width="9.140625" style="11"/>
    <col min="8" max="8" width="18.42578125" style="11" customWidth="1"/>
    <col min="9" max="12" width="9.140625" style="11"/>
    <col min="14" max="14" width="23.42578125" customWidth="1"/>
    <col min="15" max="19" width="9.140625" style="11"/>
  </cols>
  <sheetData>
    <row r="1" spans="1:20" s="6" customFormat="1" x14ac:dyDescent="0.25">
      <c r="A1" s="9" t="s">
        <v>75</v>
      </c>
      <c r="B1" s="9" t="s">
        <v>0</v>
      </c>
      <c r="C1" s="9" t="s">
        <v>1</v>
      </c>
      <c r="D1" s="9" t="s">
        <v>3</v>
      </c>
      <c r="E1" s="9" t="s">
        <v>13</v>
      </c>
      <c r="F1" s="9" t="s">
        <v>68</v>
      </c>
      <c r="G1" s="9" t="s">
        <v>37</v>
      </c>
      <c r="H1" s="9" t="s">
        <v>38</v>
      </c>
      <c r="I1" s="9" t="s">
        <v>73</v>
      </c>
      <c r="J1" s="9" t="s">
        <v>74</v>
      </c>
      <c r="K1" s="9" t="s">
        <v>76</v>
      </c>
      <c r="L1" s="9" t="s">
        <v>82</v>
      </c>
      <c r="O1" s="9"/>
      <c r="P1" s="9"/>
      <c r="Q1" s="9"/>
      <c r="R1" s="9"/>
      <c r="S1" s="9"/>
    </row>
    <row r="2" spans="1:20" x14ac:dyDescent="0.25">
      <c r="A2" s="11">
        <v>1</v>
      </c>
      <c r="B2" s="11" t="s">
        <v>23</v>
      </c>
      <c r="C2" s="11">
        <f>6814-1207</f>
        <v>5607</v>
      </c>
      <c r="D2" s="11">
        <v>2007</v>
      </c>
      <c r="E2" s="11" t="s">
        <v>5</v>
      </c>
      <c r="F2" s="3">
        <v>22</v>
      </c>
      <c r="G2" s="4" t="s">
        <v>39</v>
      </c>
      <c r="H2" s="4" t="s">
        <v>40</v>
      </c>
      <c r="I2" s="11">
        <v>2.5499999999999998E-2</v>
      </c>
      <c r="J2" s="4">
        <v>1499</v>
      </c>
      <c r="K2" s="4">
        <v>0.44</v>
      </c>
      <c r="L2" s="11">
        <f>IF(E2="Garantito",0)</f>
        <v>0</v>
      </c>
    </row>
    <row r="3" spans="1:20" x14ac:dyDescent="0.25">
      <c r="A3" s="11">
        <v>1</v>
      </c>
      <c r="B3" s="11" t="s">
        <v>23</v>
      </c>
      <c r="C3" s="11">
        <v>0</v>
      </c>
      <c r="D3" s="11">
        <v>2007</v>
      </c>
      <c r="E3" s="11" t="s">
        <v>15</v>
      </c>
      <c r="F3" s="3">
        <v>22</v>
      </c>
      <c r="G3" s="4" t="s">
        <v>39</v>
      </c>
      <c r="H3" s="4" t="s">
        <v>40</v>
      </c>
      <c r="I3" s="11">
        <v>2.63E-2</v>
      </c>
      <c r="J3" s="4">
        <v>1499</v>
      </c>
      <c r="K3" s="4">
        <v>0.47</v>
      </c>
      <c r="L3" s="11">
        <f>IF(E3="Dinamico",2)</f>
        <v>2</v>
      </c>
    </row>
    <row r="4" spans="1:20" x14ac:dyDescent="0.25">
      <c r="A4" s="11">
        <v>1</v>
      </c>
      <c r="B4" s="11" t="s">
        <v>23</v>
      </c>
      <c r="C4" s="11">
        <v>48657</v>
      </c>
      <c r="D4" s="11">
        <v>2007</v>
      </c>
      <c r="E4" s="11" t="s">
        <v>6</v>
      </c>
      <c r="F4" s="3">
        <v>22</v>
      </c>
      <c r="G4" s="4" t="s">
        <v>39</v>
      </c>
      <c r="H4" s="4" t="s">
        <v>40</v>
      </c>
      <c r="I4" s="11">
        <v>2.64E-2</v>
      </c>
      <c r="J4" s="4">
        <v>1499</v>
      </c>
      <c r="K4" s="4">
        <v>0.47</v>
      </c>
      <c r="L4" s="11">
        <v>1</v>
      </c>
      <c r="O4" s="11">
        <v>2007</v>
      </c>
      <c r="P4" s="11">
        <v>2008</v>
      </c>
      <c r="Q4" s="11">
        <v>2009</v>
      </c>
      <c r="R4" s="11">
        <v>2010</v>
      </c>
      <c r="S4" s="11">
        <v>2011</v>
      </c>
    </row>
    <row r="5" spans="1:20" x14ac:dyDescent="0.25">
      <c r="A5" s="11">
        <v>1</v>
      </c>
      <c r="B5" s="11" t="s">
        <v>23</v>
      </c>
      <c r="C5" s="11">
        <f>7739-1732</f>
        <v>6007</v>
      </c>
      <c r="D5" s="11">
        <v>2008</v>
      </c>
      <c r="E5" s="11" t="s">
        <v>5</v>
      </c>
      <c r="F5" s="3">
        <v>22</v>
      </c>
      <c r="G5" s="4" t="s">
        <v>39</v>
      </c>
      <c r="H5" s="4" t="s">
        <v>40</v>
      </c>
      <c r="I5" s="11">
        <v>5.0900000000000001E-2</v>
      </c>
      <c r="J5" s="4">
        <v>1519</v>
      </c>
      <c r="K5" s="4">
        <v>0.44</v>
      </c>
      <c r="L5" s="11">
        <f t="shared" ref="L5:L65" si="0">IF(E5="Garantito",0)</f>
        <v>0</v>
      </c>
      <c r="N5" t="s">
        <v>89</v>
      </c>
      <c r="O5" s="14">
        <f>SUMIFS(K2:K196,E2:E196,"Garantito",D2:D196,"2007")/13</f>
        <v>0.54153846153846152</v>
      </c>
      <c r="P5" s="14">
        <f>SUMIFS(K2:K196,E2:E196,"Garantito",D2:D196,"2008")/13</f>
        <v>0.54153846153846152</v>
      </c>
      <c r="Q5" s="14">
        <f>SUMIFS(K2:K196,E2:E196,"Garantito",D2:D196,"2009")/13</f>
        <v>0.54153846153846152</v>
      </c>
      <c r="R5" s="14">
        <f>SUMIFS(K2:K196,E2:E196,"Garantito",D2:D196,"2010")/13</f>
        <v>0.54153846153846152</v>
      </c>
      <c r="S5" s="14">
        <v>0.54</v>
      </c>
      <c r="T5" t="s">
        <v>5</v>
      </c>
    </row>
    <row r="6" spans="1:20" x14ac:dyDescent="0.25">
      <c r="A6" s="11">
        <v>1</v>
      </c>
      <c r="B6" s="11" t="s">
        <v>23</v>
      </c>
      <c r="C6" s="11">
        <v>0</v>
      </c>
      <c r="D6" s="11">
        <v>2008</v>
      </c>
      <c r="E6" s="11" t="s">
        <v>15</v>
      </c>
      <c r="F6" s="3">
        <v>22</v>
      </c>
      <c r="G6" s="4" t="s">
        <v>39</v>
      </c>
      <c r="H6" s="4" t="s">
        <v>40</v>
      </c>
      <c r="I6" s="11">
        <v>-0.12239999999999999</v>
      </c>
      <c r="J6" s="4">
        <v>1519</v>
      </c>
      <c r="K6" s="4">
        <v>0.47</v>
      </c>
      <c r="L6" s="11">
        <f>IF(E6="Dinamico",2)</f>
        <v>2</v>
      </c>
      <c r="N6" t="s">
        <v>90</v>
      </c>
      <c r="O6" s="14">
        <f>SUMIFS(I2:I196,E2:E196,"Garantito",D2:D196,"2007")/13</f>
        <v>2.1353846153846154E-2</v>
      </c>
      <c r="P6" s="14">
        <f>SUMIFS(I2:I196,E2:E196,"Garantito",D2:D196,"2008")/13</f>
        <v>2.3369230769230767E-2</v>
      </c>
      <c r="Q6" s="14">
        <f>SUMIFS(I2:I196,E2:E196,"Garantito",D2:D196,"2009")/13</f>
        <v>5.0615384615384618E-2</v>
      </c>
      <c r="R6" s="14">
        <f>SUMIFS(I2:I196,E2:E196,"Garantito",D2:D196,"2010")/13</f>
        <v>8.4261538461538454E-3</v>
      </c>
      <c r="S6" s="14">
        <f>SUMIFS(I2:I196,E2:E196,"Garantito",D2:D196,"2011")/13</f>
        <v>1.2103846153846153E-2</v>
      </c>
      <c r="T6" t="s">
        <v>5</v>
      </c>
    </row>
    <row r="7" spans="1:20" x14ac:dyDescent="0.25">
      <c r="A7" s="11">
        <v>1</v>
      </c>
      <c r="B7" s="11" t="s">
        <v>23</v>
      </c>
      <c r="C7" s="11">
        <v>46997</v>
      </c>
      <c r="D7" s="11">
        <v>2008</v>
      </c>
      <c r="E7" s="11" t="s">
        <v>6</v>
      </c>
      <c r="F7" s="3">
        <v>22</v>
      </c>
      <c r="G7" s="4" t="s">
        <v>39</v>
      </c>
      <c r="H7" s="4" t="s">
        <v>40</v>
      </c>
      <c r="I7" s="11">
        <v>-0.1135</v>
      </c>
      <c r="J7" s="4">
        <v>1519</v>
      </c>
      <c r="K7" s="4">
        <v>0.47</v>
      </c>
      <c r="L7" s="11">
        <v>1</v>
      </c>
      <c r="N7" t="s">
        <v>89</v>
      </c>
      <c r="O7" s="14">
        <f>SUMIFS(K2:K196,E2:E196,"Bilanciato",D2:D196,"2007")/13</f>
        <v>0.46846153846153843</v>
      </c>
      <c r="P7" s="14">
        <f>SUMIFS(K2:K196,E2:E196,"Bilanciato",D2:D196,"2008")/13</f>
        <v>0.46846153846153843</v>
      </c>
      <c r="Q7" s="14">
        <f>SUMIFS(K2:K196,E2:E196,"Bilanciato",D2:D196,"2009")/13</f>
        <v>0.46846153846153843</v>
      </c>
      <c r="R7" s="14">
        <v>0.47</v>
      </c>
      <c r="S7" s="14">
        <v>0.47</v>
      </c>
      <c r="T7" t="s">
        <v>6</v>
      </c>
    </row>
    <row r="8" spans="1:20" x14ac:dyDescent="0.25">
      <c r="A8" s="11">
        <v>1</v>
      </c>
      <c r="B8" s="11" t="s">
        <v>23</v>
      </c>
      <c r="C8" s="11">
        <f>8473-1918</f>
        <v>6555</v>
      </c>
      <c r="D8" s="11">
        <v>2009</v>
      </c>
      <c r="E8" s="11" t="s">
        <v>5</v>
      </c>
      <c r="F8" s="3">
        <v>22</v>
      </c>
      <c r="G8" s="4" t="s">
        <v>39</v>
      </c>
      <c r="H8" s="4" t="s">
        <v>40</v>
      </c>
      <c r="I8" s="11">
        <v>4.1500000000000002E-2</v>
      </c>
      <c r="J8" s="4">
        <v>1585</v>
      </c>
      <c r="K8" s="4">
        <v>0.44</v>
      </c>
      <c r="L8" s="11">
        <f t="shared" si="0"/>
        <v>0</v>
      </c>
      <c r="N8" t="s">
        <v>90</v>
      </c>
      <c r="O8" s="14">
        <f>SUMIFS(I2:I196,E2:E196,"Bilanciato",D2:D196,"2007")/13</f>
        <v>1.8776923076923073E-2</v>
      </c>
      <c r="P8" s="14">
        <f>SUMIFS(I2:I196,E2:E196,"Bilanciato",D2:D196,"2008")/13</f>
        <v>-7.5307692307692298E-2</v>
      </c>
      <c r="Q8" s="14">
        <f>SUMIFS(I2:I196,E2:E196,"Bilanciato",D2:D196,"2009")/13</f>
        <v>9.6169230769230757E-2</v>
      </c>
      <c r="R8" s="14">
        <f>SUMIFS(I2:I196,E2:E196,"Bilanciato",D2:D196,"2010")/13</f>
        <v>3.7730769230769227E-2</v>
      </c>
      <c r="S8" s="14">
        <f>SUMIFS(I2:I196,E2:E196,"Bilanciato",D2:D196,"2011")/13</f>
        <v>6.5153846153846156E-3</v>
      </c>
      <c r="T8" t="s">
        <v>6</v>
      </c>
    </row>
    <row r="9" spans="1:20" x14ac:dyDescent="0.25">
      <c r="A9" s="11">
        <v>1</v>
      </c>
      <c r="B9" s="11" t="s">
        <v>23</v>
      </c>
      <c r="C9" s="11">
        <v>51</v>
      </c>
      <c r="D9" s="11">
        <v>2009</v>
      </c>
      <c r="E9" s="11" t="s">
        <v>15</v>
      </c>
      <c r="F9" s="3">
        <v>22</v>
      </c>
      <c r="G9" s="4" t="s">
        <v>39</v>
      </c>
      <c r="H9" s="4" t="s">
        <v>40</v>
      </c>
      <c r="I9" s="11">
        <v>1.41E-2</v>
      </c>
      <c r="J9" s="4">
        <v>1585</v>
      </c>
      <c r="K9" s="4">
        <v>0.47</v>
      </c>
      <c r="L9" s="11">
        <f>IF(E9="Dinamico",2)</f>
        <v>2</v>
      </c>
      <c r="N9" t="s">
        <v>89</v>
      </c>
      <c r="O9" s="14">
        <f>SUMIFS(K2:K196,E2:E196,"Dinamico",D2:D196,"2007")/13</f>
        <v>0.47846153846153849</v>
      </c>
      <c r="P9" s="14">
        <f>SUMIFS(K2:K196,E2:E196,"Dinamico",D2:D196,"2008")/13</f>
        <v>0.47846153846153849</v>
      </c>
      <c r="Q9" s="14">
        <f>SUMIFS(K2:K196,E2:E196,"Dinamico",D2:D196,"2009")/13</f>
        <v>0.47846153846153849</v>
      </c>
      <c r="R9" s="14">
        <v>0.48</v>
      </c>
      <c r="S9" s="14">
        <v>0.48</v>
      </c>
      <c r="T9" t="s">
        <v>15</v>
      </c>
    </row>
    <row r="10" spans="1:20" x14ac:dyDescent="0.25">
      <c r="A10" s="11">
        <v>1</v>
      </c>
      <c r="B10" s="11" t="s">
        <v>23</v>
      </c>
      <c r="C10" s="11">
        <v>45076</v>
      </c>
      <c r="D10" s="11">
        <v>2009</v>
      </c>
      <c r="E10" s="11" t="s">
        <v>6</v>
      </c>
      <c r="F10" s="3">
        <v>22</v>
      </c>
      <c r="G10" s="4" t="s">
        <v>39</v>
      </c>
      <c r="H10" s="4" t="s">
        <v>40</v>
      </c>
      <c r="I10" s="11">
        <v>0.1018</v>
      </c>
      <c r="J10" s="4">
        <v>1585</v>
      </c>
      <c r="K10" s="4">
        <v>0.47</v>
      </c>
      <c r="L10" s="11">
        <v>1</v>
      </c>
      <c r="N10" t="s">
        <v>90</v>
      </c>
      <c r="O10" s="14">
        <f>SUMIFS(I2:I196,E2:E196,"Dinamico",D2:D196,"2007")/13</f>
        <v>1.3253846153846153E-2</v>
      </c>
      <c r="P10" s="14">
        <f>SUMIFS(I2:I196,E2:E196,"Dinamico",D2:D196,"2008")/13</f>
        <v>-0.1334153846153846</v>
      </c>
      <c r="Q10" s="14">
        <f>SUMIFS(I2:I196,E2:E196,"Dinamico",D2:D196,"2009")/13</f>
        <v>0.13490769230769231</v>
      </c>
      <c r="R10" s="14">
        <f>SUMIFS(I2:I196,E2:E196,"Dinamico",D2:D196,"2010")/13</f>
        <v>5.3256923076923077E-2</v>
      </c>
      <c r="S10" s="14">
        <f>SUMIFS(I2:I196,E2:E196,"Dinamico",D2:D196,"2011")/13</f>
        <v>-2.1046923076923078E-2</v>
      </c>
      <c r="T10" t="s">
        <v>15</v>
      </c>
    </row>
    <row r="11" spans="1:20" x14ac:dyDescent="0.25">
      <c r="A11" s="11">
        <v>1</v>
      </c>
      <c r="B11" s="11" t="s">
        <v>23</v>
      </c>
      <c r="C11" s="11">
        <v>7818</v>
      </c>
      <c r="D11" s="11">
        <v>2010</v>
      </c>
      <c r="E11" s="11" t="s">
        <v>5</v>
      </c>
      <c r="F11" s="3">
        <v>22</v>
      </c>
      <c r="G11" s="4" t="s">
        <v>39</v>
      </c>
      <c r="H11" s="4" t="s">
        <v>40</v>
      </c>
      <c r="I11" s="11">
        <v>4.5999999999999999E-3</v>
      </c>
      <c r="J11" s="4">
        <v>1612</v>
      </c>
      <c r="K11" s="4">
        <v>0.44</v>
      </c>
      <c r="L11" s="11">
        <f t="shared" si="0"/>
        <v>0</v>
      </c>
    </row>
    <row r="12" spans="1:20" x14ac:dyDescent="0.25">
      <c r="A12" s="11">
        <v>1</v>
      </c>
      <c r="B12" s="11" t="s">
        <v>23</v>
      </c>
      <c r="C12" s="11">
        <v>121</v>
      </c>
      <c r="D12" s="11">
        <v>2010</v>
      </c>
      <c r="E12" s="11" t="s">
        <v>15</v>
      </c>
      <c r="F12" s="3">
        <v>22</v>
      </c>
      <c r="G12" s="4" t="s">
        <v>39</v>
      </c>
      <c r="H12" s="4" t="s">
        <v>40</v>
      </c>
      <c r="I12" s="11">
        <v>4.41E-2</v>
      </c>
      <c r="J12" s="4">
        <v>1612</v>
      </c>
      <c r="K12" s="4">
        <v>0.47</v>
      </c>
      <c r="L12" s="11">
        <f>IF(E12="Dinamico",2)</f>
        <v>2</v>
      </c>
    </row>
    <row r="13" spans="1:20" x14ac:dyDescent="0.25">
      <c r="A13" s="11">
        <v>1</v>
      </c>
      <c r="B13" s="11" t="s">
        <v>23</v>
      </c>
      <c r="C13" s="11">
        <v>43504</v>
      </c>
      <c r="D13" s="11">
        <v>2010</v>
      </c>
      <c r="E13" s="11" t="s">
        <v>6</v>
      </c>
      <c r="F13" s="3">
        <v>22</v>
      </c>
      <c r="G13" s="4" t="s">
        <v>39</v>
      </c>
      <c r="H13" s="4" t="s">
        <v>40</v>
      </c>
      <c r="I13" s="11">
        <v>2.7300000000000001E-2</v>
      </c>
      <c r="J13" s="4">
        <v>1612</v>
      </c>
      <c r="K13" s="4">
        <v>0.47</v>
      </c>
      <c r="L13" s="11">
        <v>1</v>
      </c>
    </row>
    <row r="14" spans="1:20" x14ac:dyDescent="0.25">
      <c r="A14" s="11">
        <v>1</v>
      </c>
      <c r="B14" s="11" t="s">
        <v>23</v>
      </c>
      <c r="C14" s="11">
        <v>8897</v>
      </c>
      <c r="D14" s="11">
        <v>2011</v>
      </c>
      <c r="E14" s="11" t="s">
        <v>5</v>
      </c>
      <c r="F14" s="3">
        <v>22</v>
      </c>
      <c r="G14" s="4" t="s">
        <v>39</v>
      </c>
      <c r="H14" s="4" t="s">
        <v>40</v>
      </c>
      <c r="I14" s="11">
        <v>1.9300000000000001E-2</v>
      </c>
      <c r="J14" s="4">
        <v>1598</v>
      </c>
      <c r="K14" s="4">
        <v>0.44</v>
      </c>
      <c r="L14" s="11">
        <f t="shared" si="0"/>
        <v>0</v>
      </c>
    </row>
    <row r="15" spans="1:20" x14ac:dyDescent="0.25">
      <c r="A15" s="11">
        <v>1</v>
      </c>
      <c r="B15" s="11" t="s">
        <v>23</v>
      </c>
      <c r="C15" s="11">
        <v>207</v>
      </c>
      <c r="D15" s="11">
        <v>2011</v>
      </c>
      <c r="E15" s="11" t="s">
        <v>15</v>
      </c>
      <c r="F15" s="3">
        <v>22</v>
      </c>
      <c r="G15" s="4" t="s">
        <v>39</v>
      </c>
      <c r="H15" s="4" t="s">
        <v>40</v>
      </c>
      <c r="I15" s="11">
        <v>-2.3599999999999999E-2</v>
      </c>
      <c r="J15" s="4">
        <v>1598</v>
      </c>
      <c r="K15" s="4">
        <v>0.47</v>
      </c>
      <c r="L15" s="11">
        <f>IF(E15="Dinamico",2)</f>
        <v>2</v>
      </c>
    </row>
    <row r="16" spans="1:20" x14ac:dyDescent="0.25">
      <c r="A16" s="11">
        <v>1</v>
      </c>
      <c r="B16" s="11" t="s">
        <v>23</v>
      </c>
      <c r="C16" s="11">
        <v>41648</v>
      </c>
      <c r="D16" s="11">
        <v>2011</v>
      </c>
      <c r="E16" s="11" t="s">
        <v>6</v>
      </c>
      <c r="F16" s="3">
        <v>22</v>
      </c>
      <c r="G16" s="4" t="s">
        <v>39</v>
      </c>
      <c r="H16" s="4" t="s">
        <v>40</v>
      </c>
      <c r="I16" s="11">
        <v>-2.2100000000000002E-2</v>
      </c>
      <c r="J16" s="4">
        <v>1598</v>
      </c>
      <c r="K16" s="4">
        <v>0.47</v>
      </c>
      <c r="L16" s="11">
        <v>1</v>
      </c>
    </row>
    <row r="17" spans="1:12" x14ac:dyDescent="0.25">
      <c r="A17" s="11">
        <v>2</v>
      </c>
      <c r="B17" s="11" t="s">
        <v>17</v>
      </c>
      <c r="C17" s="11">
        <f>5371-481</f>
        <v>4890</v>
      </c>
      <c r="D17" s="11">
        <v>2007</v>
      </c>
      <c r="E17" s="11" t="s">
        <v>5</v>
      </c>
      <c r="F17" s="3">
        <v>9</v>
      </c>
      <c r="G17" s="4" t="s">
        <v>41</v>
      </c>
      <c r="H17" s="4" t="s">
        <v>40</v>
      </c>
      <c r="I17" s="11">
        <v>2.58E-2</v>
      </c>
      <c r="J17" s="4">
        <v>3212</v>
      </c>
      <c r="K17" s="4">
        <v>0.65</v>
      </c>
      <c r="L17" s="11">
        <f t="shared" si="0"/>
        <v>0</v>
      </c>
    </row>
    <row r="18" spans="1:12" x14ac:dyDescent="0.25">
      <c r="A18" s="11">
        <v>2</v>
      </c>
      <c r="B18" s="11" t="s">
        <v>17</v>
      </c>
      <c r="C18" s="11">
        <v>2178</v>
      </c>
      <c r="D18" s="11">
        <v>2007</v>
      </c>
      <c r="E18" s="11" t="s">
        <v>15</v>
      </c>
      <c r="F18" s="3">
        <v>9</v>
      </c>
      <c r="G18" s="4" t="s">
        <v>41</v>
      </c>
      <c r="H18" s="4" t="s">
        <v>40</v>
      </c>
      <c r="I18" s="11">
        <v>-1.01E-2</v>
      </c>
      <c r="J18" s="4">
        <v>3212</v>
      </c>
      <c r="K18" s="4">
        <v>0.65</v>
      </c>
      <c r="L18" s="11">
        <f>IF(E18="Dinamico",2)</f>
        <v>2</v>
      </c>
    </row>
    <row r="19" spans="1:12" x14ac:dyDescent="0.25">
      <c r="A19" s="11">
        <v>2</v>
      </c>
      <c r="B19" s="11" t="s">
        <v>17</v>
      </c>
      <c r="C19" s="11">
        <v>35794</v>
      </c>
      <c r="D19" s="11">
        <v>2007</v>
      </c>
      <c r="E19" s="11" t="s">
        <v>6</v>
      </c>
      <c r="F19" s="3">
        <v>9</v>
      </c>
      <c r="G19" s="4" t="s">
        <v>41</v>
      </c>
      <c r="H19" s="4" t="s">
        <v>40</v>
      </c>
      <c r="I19" s="11">
        <v>0.02</v>
      </c>
      <c r="J19" s="4">
        <v>3212</v>
      </c>
      <c r="K19" s="4">
        <v>0.67</v>
      </c>
      <c r="L19" s="11">
        <v>1</v>
      </c>
    </row>
    <row r="20" spans="1:12" x14ac:dyDescent="0.25">
      <c r="A20" s="11">
        <v>2</v>
      </c>
      <c r="B20" s="11" t="s">
        <v>17</v>
      </c>
      <c r="C20" s="11">
        <f>4325-814</f>
        <v>3511</v>
      </c>
      <c r="D20" s="11">
        <v>2008</v>
      </c>
      <c r="E20" s="11" t="s">
        <v>5</v>
      </c>
      <c r="F20" s="3">
        <v>9</v>
      </c>
      <c r="G20" s="4" t="s">
        <v>41</v>
      </c>
      <c r="H20" s="4" t="s">
        <v>40</v>
      </c>
      <c r="I20" s="11">
        <v>2.2599999999999999E-2</v>
      </c>
      <c r="J20" s="4">
        <v>3352</v>
      </c>
      <c r="K20" s="4">
        <v>0.65</v>
      </c>
      <c r="L20" s="11">
        <f t="shared" si="0"/>
        <v>0</v>
      </c>
    </row>
    <row r="21" spans="1:12" x14ac:dyDescent="0.25">
      <c r="A21" s="11">
        <v>2</v>
      </c>
      <c r="B21" s="11" t="s">
        <v>17</v>
      </c>
      <c r="C21" s="11">
        <v>2253</v>
      </c>
      <c r="D21" s="11">
        <v>2008</v>
      </c>
      <c r="E21" s="11" t="s">
        <v>15</v>
      </c>
      <c r="F21" s="3">
        <v>9</v>
      </c>
      <c r="G21" s="4" t="s">
        <v>41</v>
      </c>
      <c r="H21" s="4" t="s">
        <v>40</v>
      </c>
      <c r="I21" s="11">
        <v>-0.17230000000000001</v>
      </c>
      <c r="J21" s="4">
        <v>3352</v>
      </c>
      <c r="K21" s="4">
        <v>0.65</v>
      </c>
      <c r="L21" s="11">
        <f>IF(E21="Dinamico",2)</f>
        <v>2</v>
      </c>
    </row>
    <row r="22" spans="1:12" x14ac:dyDescent="0.25">
      <c r="A22" s="11">
        <v>2</v>
      </c>
      <c r="B22" s="11" t="s">
        <v>17</v>
      </c>
      <c r="C22" s="11">
        <v>35181</v>
      </c>
      <c r="D22" s="11">
        <v>2008</v>
      </c>
      <c r="E22" s="11" t="s">
        <v>6</v>
      </c>
      <c r="F22" s="3">
        <v>9</v>
      </c>
      <c r="G22" s="4" t="s">
        <v>41</v>
      </c>
      <c r="H22" s="4" t="s">
        <v>40</v>
      </c>
      <c r="I22" s="11">
        <v>-0.1084</v>
      </c>
      <c r="J22" s="4">
        <v>3352</v>
      </c>
      <c r="K22" s="4">
        <v>0.67</v>
      </c>
      <c r="L22" s="11">
        <v>1</v>
      </c>
    </row>
    <row r="23" spans="1:12" x14ac:dyDescent="0.25">
      <c r="A23" s="11">
        <v>2</v>
      </c>
      <c r="B23" s="11" t="s">
        <v>17</v>
      </c>
      <c r="C23" s="11">
        <f>4599-950</f>
        <v>3649</v>
      </c>
      <c r="D23" s="11">
        <v>2009</v>
      </c>
      <c r="E23" s="11" t="s">
        <v>5</v>
      </c>
      <c r="F23" s="3">
        <v>9</v>
      </c>
      <c r="G23" s="4" t="s">
        <v>41</v>
      </c>
      <c r="H23" s="4" t="s">
        <v>40</v>
      </c>
      <c r="I23" s="11">
        <v>5.3999999999999999E-2</v>
      </c>
      <c r="J23" s="4">
        <v>3190</v>
      </c>
      <c r="K23" s="4">
        <v>0.65</v>
      </c>
      <c r="L23" s="11">
        <f t="shared" si="0"/>
        <v>0</v>
      </c>
    </row>
    <row r="24" spans="1:12" x14ac:dyDescent="0.25">
      <c r="A24" s="11">
        <v>2</v>
      </c>
      <c r="B24" s="11" t="s">
        <v>17</v>
      </c>
      <c r="C24" s="11">
        <f>1834+379</f>
        <v>2213</v>
      </c>
      <c r="D24" s="11">
        <v>2009</v>
      </c>
      <c r="E24" s="11" t="s">
        <v>15</v>
      </c>
      <c r="F24" s="3">
        <v>9</v>
      </c>
      <c r="G24" s="4" t="s">
        <v>41</v>
      </c>
      <c r="H24" s="4" t="s">
        <v>40</v>
      </c>
      <c r="I24" s="11">
        <v>0.16669999999999999</v>
      </c>
      <c r="J24" s="4">
        <v>3190</v>
      </c>
      <c r="K24" s="4">
        <v>0.65</v>
      </c>
      <c r="L24" s="11">
        <f>IF(E24="Dinamico",2)</f>
        <v>2</v>
      </c>
    </row>
    <row r="25" spans="1:12" x14ac:dyDescent="0.25">
      <c r="A25" s="11">
        <v>2</v>
      </c>
      <c r="B25" s="11" t="s">
        <v>17</v>
      </c>
      <c r="C25" s="11">
        <f>32008+1415</f>
        <v>33423</v>
      </c>
      <c r="D25" s="11">
        <v>2009</v>
      </c>
      <c r="E25" s="11" t="s">
        <v>6</v>
      </c>
      <c r="F25" s="3">
        <v>9</v>
      </c>
      <c r="G25" s="4" t="s">
        <v>41</v>
      </c>
      <c r="H25" s="4" t="s">
        <v>40</v>
      </c>
      <c r="I25" s="11">
        <v>0.1187</v>
      </c>
      <c r="J25" s="4">
        <v>3190</v>
      </c>
      <c r="K25" s="4">
        <v>0.67</v>
      </c>
      <c r="L25" s="11">
        <v>1</v>
      </c>
    </row>
    <row r="26" spans="1:12" x14ac:dyDescent="0.25">
      <c r="A26" s="11">
        <v>2</v>
      </c>
      <c r="B26" s="11" t="s">
        <v>17</v>
      </c>
      <c r="C26" s="11">
        <f>4520-957</f>
        <v>3563</v>
      </c>
      <c r="D26" s="11">
        <v>2010</v>
      </c>
      <c r="E26" s="11" t="s">
        <v>5</v>
      </c>
      <c r="F26" s="3">
        <v>9</v>
      </c>
      <c r="G26" s="4" t="s">
        <v>41</v>
      </c>
      <c r="H26" s="4" t="s">
        <v>40</v>
      </c>
      <c r="I26" s="11">
        <v>6.8999999999999999E-3</v>
      </c>
      <c r="J26" s="4">
        <v>3104</v>
      </c>
      <c r="K26" s="4">
        <v>0.65</v>
      </c>
      <c r="L26" s="11">
        <f t="shared" si="0"/>
        <v>0</v>
      </c>
    </row>
    <row r="27" spans="1:12" x14ac:dyDescent="0.25">
      <c r="A27" s="11">
        <v>2</v>
      </c>
      <c r="B27" s="11" t="s">
        <v>17</v>
      </c>
      <c r="C27" s="11">
        <f>1801+364</f>
        <v>2165</v>
      </c>
      <c r="D27" s="11">
        <v>2010</v>
      </c>
      <c r="E27" s="11" t="s">
        <v>15</v>
      </c>
      <c r="F27" s="3">
        <v>9</v>
      </c>
      <c r="G27" s="4" t="s">
        <v>41</v>
      </c>
      <c r="H27" s="4" t="s">
        <v>40</v>
      </c>
      <c r="I27" s="11">
        <v>5.1900000000000002E-2</v>
      </c>
      <c r="J27" s="4">
        <v>3104</v>
      </c>
      <c r="K27" s="4">
        <v>0.65</v>
      </c>
      <c r="L27" s="11">
        <f>IF(E27="Dinamico",2)</f>
        <v>2</v>
      </c>
    </row>
    <row r="28" spans="1:12" x14ac:dyDescent="0.25">
      <c r="A28" s="11">
        <v>2</v>
      </c>
      <c r="B28" s="11" t="s">
        <v>17</v>
      </c>
      <c r="C28" s="11">
        <f>30684+1386</f>
        <v>32070</v>
      </c>
      <c r="D28" s="11">
        <v>2010</v>
      </c>
      <c r="E28" s="11" t="s">
        <v>6</v>
      </c>
      <c r="F28" s="3">
        <v>9</v>
      </c>
      <c r="G28" s="4" t="s">
        <v>41</v>
      </c>
      <c r="H28" s="4" t="s">
        <v>40</v>
      </c>
      <c r="I28" s="11">
        <v>3.7699999999999997E-2</v>
      </c>
      <c r="J28" s="4">
        <v>3104</v>
      </c>
      <c r="K28" s="4">
        <v>0.67</v>
      </c>
      <c r="L28" s="11">
        <v>1</v>
      </c>
    </row>
    <row r="29" spans="1:12" x14ac:dyDescent="0.25">
      <c r="A29" s="11">
        <v>2</v>
      </c>
      <c r="B29" s="11" t="s">
        <v>17</v>
      </c>
      <c r="C29" s="11">
        <v>4151</v>
      </c>
      <c r="D29" s="11">
        <v>2011</v>
      </c>
      <c r="E29" s="11" t="s">
        <v>5</v>
      </c>
      <c r="F29" s="3">
        <v>9</v>
      </c>
      <c r="G29" s="4" t="s">
        <v>41</v>
      </c>
      <c r="H29" s="4" t="s">
        <v>40</v>
      </c>
      <c r="I29" s="11">
        <v>9.1999999999999998E-3</v>
      </c>
      <c r="J29" s="4">
        <v>3039</v>
      </c>
      <c r="K29" s="4">
        <v>0.65</v>
      </c>
      <c r="L29" s="11">
        <f t="shared" si="0"/>
        <v>0</v>
      </c>
    </row>
    <row r="30" spans="1:12" x14ac:dyDescent="0.25">
      <c r="A30" s="11">
        <v>2</v>
      </c>
      <c r="B30" s="11" t="s">
        <v>17</v>
      </c>
      <c r="C30" s="11">
        <v>1771</v>
      </c>
      <c r="D30" s="11">
        <v>2011</v>
      </c>
      <c r="E30" s="11" t="s">
        <v>15</v>
      </c>
      <c r="F30" s="3">
        <v>9</v>
      </c>
      <c r="G30" s="4" t="s">
        <v>41</v>
      </c>
      <c r="H30" s="4" t="s">
        <v>40</v>
      </c>
      <c r="I30" s="11">
        <v>-8.6E-3</v>
      </c>
      <c r="J30" s="4">
        <v>3039</v>
      </c>
      <c r="K30" s="4">
        <v>0.65</v>
      </c>
      <c r="L30" s="11">
        <f>IF(E30="Dinamico",2)</f>
        <v>2</v>
      </c>
    </row>
    <row r="31" spans="1:12" x14ac:dyDescent="0.25">
      <c r="A31" s="11">
        <v>2</v>
      </c>
      <c r="B31" s="11" t="s">
        <v>17</v>
      </c>
      <c r="C31" s="11">
        <v>29770</v>
      </c>
      <c r="D31" s="11">
        <v>2011</v>
      </c>
      <c r="E31" s="11" t="s">
        <v>6</v>
      </c>
      <c r="F31" s="3">
        <v>9</v>
      </c>
      <c r="G31" s="4" t="s">
        <v>41</v>
      </c>
      <c r="H31" s="4" t="s">
        <v>40</v>
      </c>
      <c r="I31" s="11">
        <v>-1.67E-2</v>
      </c>
      <c r="J31" s="4">
        <v>3039</v>
      </c>
      <c r="K31" s="4">
        <v>0.67</v>
      </c>
      <c r="L31" s="11">
        <v>1</v>
      </c>
    </row>
    <row r="32" spans="1:12" x14ac:dyDescent="0.25">
      <c r="A32" s="11">
        <v>3</v>
      </c>
      <c r="B32" s="11" t="s">
        <v>16</v>
      </c>
      <c r="C32" s="11">
        <f>6671-1417</f>
        <v>5254</v>
      </c>
      <c r="D32" s="11">
        <v>2007</v>
      </c>
      <c r="E32" s="11" t="s">
        <v>5</v>
      </c>
      <c r="F32" s="5">
        <v>3</v>
      </c>
      <c r="G32" s="4" t="s">
        <v>44</v>
      </c>
      <c r="H32" s="4" t="s">
        <v>40</v>
      </c>
      <c r="I32" s="11">
        <v>3.3000000000000002E-2</v>
      </c>
      <c r="J32" s="4">
        <v>2102</v>
      </c>
      <c r="K32" s="4">
        <v>0.48</v>
      </c>
      <c r="L32" s="11">
        <f t="shared" si="0"/>
        <v>0</v>
      </c>
    </row>
    <row r="33" spans="1:12" x14ac:dyDescent="0.25">
      <c r="A33" s="11">
        <v>3</v>
      </c>
      <c r="B33" s="11" t="s">
        <v>16</v>
      </c>
      <c r="C33" s="11">
        <v>0</v>
      </c>
      <c r="D33" s="11">
        <v>2007</v>
      </c>
      <c r="E33" s="11" t="s">
        <v>15</v>
      </c>
      <c r="F33" s="5">
        <v>3</v>
      </c>
      <c r="G33" s="4" t="s">
        <v>44</v>
      </c>
      <c r="H33" s="4" t="s">
        <v>40</v>
      </c>
      <c r="J33" s="4">
        <v>2102</v>
      </c>
      <c r="K33" s="4">
        <v>0.37</v>
      </c>
      <c r="L33" s="11">
        <f>IF(E33="Dinamico",2)</f>
        <v>2</v>
      </c>
    </row>
    <row r="34" spans="1:12" x14ac:dyDescent="0.25">
      <c r="A34" s="11">
        <v>3</v>
      </c>
      <c r="B34" s="11" t="s">
        <v>16</v>
      </c>
      <c r="C34" s="11">
        <v>32255</v>
      </c>
      <c r="D34" s="11">
        <v>2007</v>
      </c>
      <c r="E34" s="11" t="s">
        <v>6</v>
      </c>
      <c r="F34" s="3">
        <v>3</v>
      </c>
      <c r="G34" s="4" t="s">
        <v>44</v>
      </c>
      <c r="H34" s="4" t="s">
        <v>40</v>
      </c>
      <c r="I34" s="11">
        <v>1.8599999999999998E-2</v>
      </c>
      <c r="J34" s="4">
        <v>2102</v>
      </c>
      <c r="K34" s="4">
        <v>0.41</v>
      </c>
      <c r="L34" s="11">
        <v>1</v>
      </c>
    </row>
    <row r="35" spans="1:12" x14ac:dyDescent="0.25">
      <c r="A35" s="11">
        <v>3</v>
      </c>
      <c r="B35" s="11" t="s">
        <v>16</v>
      </c>
      <c r="C35" s="11">
        <f>9032-1524</f>
        <v>7508</v>
      </c>
      <c r="D35" s="11">
        <v>2008</v>
      </c>
      <c r="E35" s="11" t="s">
        <v>5</v>
      </c>
      <c r="F35" s="5">
        <v>3</v>
      </c>
      <c r="G35" s="4" t="s">
        <v>44</v>
      </c>
      <c r="H35" s="4" t="s">
        <v>40</v>
      </c>
      <c r="I35" s="11">
        <v>2.4899999999999999E-2</v>
      </c>
      <c r="J35" s="4">
        <v>2099</v>
      </c>
      <c r="K35" s="4">
        <v>0.48</v>
      </c>
      <c r="L35" s="11">
        <f t="shared" si="0"/>
        <v>0</v>
      </c>
    </row>
    <row r="36" spans="1:12" x14ac:dyDescent="0.25">
      <c r="A36" s="11">
        <v>3</v>
      </c>
      <c r="B36" s="11" t="s">
        <v>16</v>
      </c>
      <c r="C36" s="11">
        <v>15</v>
      </c>
      <c r="D36" s="11">
        <v>2008</v>
      </c>
      <c r="E36" s="11" t="s">
        <v>15</v>
      </c>
      <c r="F36" s="5">
        <v>3</v>
      </c>
      <c r="G36" s="4" t="s">
        <v>44</v>
      </c>
      <c r="H36" s="4" t="s">
        <v>40</v>
      </c>
      <c r="I36" s="11">
        <v>-1.9800000000000002E-2</v>
      </c>
      <c r="J36" s="4">
        <v>2099</v>
      </c>
      <c r="K36" s="4">
        <v>0.37</v>
      </c>
      <c r="L36" s="11">
        <f>IF(E36="Dinamico",2)</f>
        <v>2</v>
      </c>
    </row>
    <row r="37" spans="1:12" x14ac:dyDescent="0.25">
      <c r="A37" s="11">
        <v>3</v>
      </c>
      <c r="B37" s="11" t="s">
        <v>16</v>
      </c>
      <c r="C37" s="11">
        <v>31563</v>
      </c>
      <c r="D37" s="11">
        <v>2008</v>
      </c>
      <c r="E37" s="11" t="s">
        <v>6</v>
      </c>
      <c r="F37" s="5">
        <v>3</v>
      </c>
      <c r="G37" s="4" t="s">
        <v>44</v>
      </c>
      <c r="H37" s="4" t="s">
        <v>40</v>
      </c>
      <c r="I37" s="11">
        <v>-9.3100000000000002E-2</v>
      </c>
      <c r="J37" s="4">
        <v>2099</v>
      </c>
      <c r="K37" s="4">
        <v>0.41</v>
      </c>
      <c r="L37" s="11">
        <v>1</v>
      </c>
    </row>
    <row r="38" spans="1:12" x14ac:dyDescent="0.25">
      <c r="A38" s="11">
        <v>3</v>
      </c>
      <c r="B38" s="11" t="s">
        <v>16</v>
      </c>
      <c r="C38" s="13">
        <f>9032-1524</f>
        <v>7508</v>
      </c>
      <c r="D38" s="11">
        <v>2009</v>
      </c>
      <c r="E38" s="11" t="s">
        <v>5</v>
      </c>
      <c r="F38" s="5">
        <v>3</v>
      </c>
      <c r="G38" s="4" t="s">
        <v>44</v>
      </c>
      <c r="H38" s="4" t="s">
        <v>40</v>
      </c>
      <c r="I38" s="11">
        <v>6.0299999999999999E-2</v>
      </c>
      <c r="J38" s="4">
        <v>2089</v>
      </c>
      <c r="K38" s="4">
        <v>0.48</v>
      </c>
      <c r="L38" s="11">
        <f t="shared" si="0"/>
        <v>0</v>
      </c>
    </row>
    <row r="39" spans="1:12" x14ac:dyDescent="0.25">
      <c r="A39" s="11">
        <v>3</v>
      </c>
      <c r="B39" s="11" t="s">
        <v>16</v>
      </c>
      <c r="C39" s="11">
        <v>74</v>
      </c>
      <c r="D39" s="11">
        <v>2009</v>
      </c>
      <c r="E39" s="11" t="s">
        <v>15</v>
      </c>
      <c r="F39" s="5">
        <v>3</v>
      </c>
      <c r="G39" s="4" t="s">
        <v>44</v>
      </c>
      <c r="H39" s="4" t="s">
        <v>40</v>
      </c>
      <c r="I39" s="11">
        <v>0.12839999999999999</v>
      </c>
      <c r="J39" s="4">
        <v>2089</v>
      </c>
      <c r="K39" s="4">
        <v>0.37</v>
      </c>
      <c r="L39" s="11">
        <f>IF(E39="Dinamico",2)</f>
        <v>2</v>
      </c>
    </row>
    <row r="40" spans="1:12" x14ac:dyDescent="0.25">
      <c r="A40" s="11">
        <v>3</v>
      </c>
      <c r="B40" s="11" t="s">
        <v>16</v>
      </c>
      <c r="C40" s="11">
        <v>30012</v>
      </c>
      <c r="D40" s="11">
        <v>2009</v>
      </c>
      <c r="E40" s="11" t="s">
        <v>6</v>
      </c>
      <c r="F40" s="5">
        <v>3</v>
      </c>
      <c r="G40" s="4" t="s">
        <v>44</v>
      </c>
      <c r="H40" s="4" t="s">
        <v>40</v>
      </c>
      <c r="I40" s="11">
        <v>0.10299999999999999</v>
      </c>
      <c r="J40" s="4">
        <v>2089</v>
      </c>
      <c r="K40" s="4">
        <v>0.41</v>
      </c>
      <c r="L40" s="11">
        <v>1</v>
      </c>
    </row>
    <row r="41" spans="1:12" x14ac:dyDescent="0.25">
      <c r="A41" s="11">
        <v>3</v>
      </c>
      <c r="B41" s="11" t="s">
        <v>16</v>
      </c>
      <c r="C41" s="11">
        <f>9027-1524</f>
        <v>7503</v>
      </c>
      <c r="D41" s="11">
        <v>2010</v>
      </c>
      <c r="E41" s="11" t="s">
        <v>5</v>
      </c>
      <c r="F41" s="5">
        <v>3</v>
      </c>
      <c r="G41" s="4" t="s">
        <v>44</v>
      </c>
      <c r="H41" s="4" t="s">
        <v>40</v>
      </c>
      <c r="I41" s="11">
        <v>6.1000000000000004E-3</v>
      </c>
      <c r="J41" s="4">
        <v>2114</v>
      </c>
      <c r="K41" s="4">
        <v>0.48</v>
      </c>
      <c r="L41" s="11">
        <f t="shared" si="0"/>
        <v>0</v>
      </c>
    </row>
    <row r="42" spans="1:12" x14ac:dyDescent="0.25">
      <c r="A42" s="11">
        <v>3</v>
      </c>
      <c r="B42" s="11" t="s">
        <v>16</v>
      </c>
      <c r="C42" s="11">
        <v>109</v>
      </c>
      <c r="D42" s="11">
        <v>2010</v>
      </c>
      <c r="E42" s="11" t="s">
        <v>15</v>
      </c>
      <c r="F42" s="5">
        <v>3</v>
      </c>
      <c r="G42" s="4" t="s">
        <v>44</v>
      </c>
      <c r="H42" s="4" t="s">
        <v>40</v>
      </c>
      <c r="I42" s="11">
        <v>4.9500000000000002E-2</v>
      </c>
      <c r="J42" s="4">
        <v>2114</v>
      </c>
      <c r="K42" s="4">
        <v>0.37</v>
      </c>
      <c r="L42" s="11">
        <f>IF(E42="Dinamico",2)</f>
        <v>2</v>
      </c>
    </row>
    <row r="43" spans="1:12" x14ac:dyDescent="0.25">
      <c r="A43" s="11">
        <v>3</v>
      </c>
      <c r="B43" s="11" t="s">
        <v>16</v>
      </c>
      <c r="C43" s="11">
        <v>28545</v>
      </c>
      <c r="D43" s="11">
        <v>2010</v>
      </c>
      <c r="E43" s="11" t="s">
        <v>6</v>
      </c>
      <c r="F43" s="5">
        <v>3</v>
      </c>
      <c r="G43" s="4" t="s">
        <v>44</v>
      </c>
      <c r="H43" s="4" t="s">
        <v>40</v>
      </c>
      <c r="I43" s="11">
        <v>2.9700000000000001E-2</v>
      </c>
      <c r="J43" s="4">
        <v>2114</v>
      </c>
      <c r="K43" s="4">
        <v>0.41</v>
      </c>
      <c r="L43" s="11">
        <v>1</v>
      </c>
    </row>
    <row r="44" spans="1:12" x14ac:dyDescent="0.25">
      <c r="A44" s="11">
        <v>3</v>
      </c>
      <c r="B44" s="11" t="s">
        <v>16</v>
      </c>
      <c r="C44" s="11">
        <v>7429</v>
      </c>
      <c r="D44" s="11">
        <v>2011</v>
      </c>
      <c r="E44" s="11" t="s">
        <v>5</v>
      </c>
      <c r="F44" s="5">
        <v>3</v>
      </c>
      <c r="G44" s="4" t="s">
        <v>44</v>
      </c>
      <c r="H44" s="4" t="s">
        <v>40</v>
      </c>
      <c r="I44" s="11">
        <v>2.8199999999999999E-2</v>
      </c>
      <c r="J44" s="4">
        <v>2143</v>
      </c>
      <c r="K44" s="4">
        <v>0.48</v>
      </c>
      <c r="L44" s="11">
        <f t="shared" si="0"/>
        <v>0</v>
      </c>
    </row>
    <row r="45" spans="1:12" x14ac:dyDescent="0.25">
      <c r="A45" s="11">
        <v>3</v>
      </c>
      <c r="B45" s="11" t="s">
        <v>16</v>
      </c>
      <c r="C45" s="11">
        <v>156</v>
      </c>
      <c r="D45" s="11">
        <v>2011</v>
      </c>
      <c r="E45" s="11" t="s">
        <v>15</v>
      </c>
      <c r="F45" s="5">
        <v>3</v>
      </c>
      <c r="G45" s="4" t="s">
        <v>44</v>
      </c>
      <c r="H45" s="4" t="s">
        <v>40</v>
      </c>
      <c r="I45" s="11">
        <v>-2.7400000000000001E-2</v>
      </c>
      <c r="J45" s="4">
        <v>2143</v>
      </c>
      <c r="K45" s="4">
        <v>0.37</v>
      </c>
      <c r="L45" s="11">
        <f>IF(E45="Dinamico",2)</f>
        <v>2</v>
      </c>
    </row>
    <row r="46" spans="1:12" x14ac:dyDescent="0.25">
      <c r="A46" s="11">
        <v>3</v>
      </c>
      <c r="B46" s="11" t="s">
        <v>16</v>
      </c>
      <c r="C46" s="11">
        <v>27175</v>
      </c>
      <c r="D46" s="11">
        <v>2011</v>
      </c>
      <c r="E46" s="11" t="s">
        <v>6</v>
      </c>
      <c r="F46" s="5">
        <v>3</v>
      </c>
      <c r="G46" s="4" t="s">
        <v>44</v>
      </c>
      <c r="H46" s="4" t="s">
        <v>40</v>
      </c>
      <c r="I46" s="11">
        <v>-1.7299999999999999E-2</v>
      </c>
      <c r="J46" s="4">
        <v>2143</v>
      </c>
      <c r="K46" s="4">
        <v>0.41</v>
      </c>
      <c r="L46" s="11">
        <v>1</v>
      </c>
    </row>
    <row r="47" spans="1:12" x14ac:dyDescent="0.25">
      <c r="A47" s="11">
        <v>4</v>
      </c>
      <c r="B47" s="11" t="s">
        <v>19</v>
      </c>
      <c r="C47" s="11">
        <v>15860</v>
      </c>
      <c r="D47" s="11">
        <v>2007</v>
      </c>
      <c r="E47" s="11" t="s">
        <v>5</v>
      </c>
      <c r="F47" s="3">
        <v>3</v>
      </c>
      <c r="G47" s="4" t="s">
        <v>47</v>
      </c>
      <c r="H47" s="4" t="s">
        <v>48</v>
      </c>
      <c r="I47" s="11">
        <v>2.76E-2</v>
      </c>
      <c r="J47" s="4">
        <v>2833</v>
      </c>
      <c r="K47" s="4">
        <v>0.59</v>
      </c>
      <c r="L47" s="11">
        <f t="shared" si="0"/>
        <v>0</v>
      </c>
    </row>
    <row r="48" spans="1:12" x14ac:dyDescent="0.25">
      <c r="A48" s="11">
        <v>4</v>
      </c>
      <c r="B48" s="11" t="s">
        <v>19</v>
      </c>
      <c r="C48" s="11">
        <v>4977</v>
      </c>
      <c r="D48" s="11">
        <v>2007</v>
      </c>
      <c r="E48" s="11" t="s">
        <v>15</v>
      </c>
      <c r="F48" s="5">
        <v>3</v>
      </c>
      <c r="G48" s="4" t="s">
        <v>47</v>
      </c>
      <c r="H48" s="4" t="s">
        <v>48</v>
      </c>
      <c r="I48" s="11">
        <v>2.7900000000000001E-2</v>
      </c>
      <c r="J48" s="4">
        <v>2833</v>
      </c>
      <c r="K48" s="4">
        <v>0.41</v>
      </c>
      <c r="L48" s="11">
        <f>IF(E48="Dinamico",2)</f>
        <v>2</v>
      </c>
    </row>
    <row r="49" spans="1:12" x14ac:dyDescent="0.25">
      <c r="A49" s="11">
        <v>4</v>
      </c>
      <c r="B49" s="11" t="s">
        <v>19</v>
      </c>
      <c r="C49" s="11">
        <v>35991</v>
      </c>
      <c r="D49" s="11">
        <v>2007</v>
      </c>
      <c r="E49" s="11" t="s">
        <v>6</v>
      </c>
      <c r="F49" s="5">
        <v>3</v>
      </c>
      <c r="G49" s="4" t="s">
        <v>47</v>
      </c>
      <c r="H49" s="4" t="s">
        <v>48</v>
      </c>
      <c r="I49" s="11">
        <v>2.2499999999999999E-2</v>
      </c>
      <c r="J49" s="4">
        <v>2833</v>
      </c>
      <c r="K49" s="4">
        <v>0.36</v>
      </c>
      <c r="L49" s="11">
        <v>1</v>
      </c>
    </row>
    <row r="50" spans="1:12" x14ac:dyDescent="0.25">
      <c r="A50" s="11">
        <v>4</v>
      </c>
      <c r="B50" s="11" t="s">
        <v>19</v>
      </c>
      <c r="C50" s="11">
        <f>26773-17122</f>
        <v>9651</v>
      </c>
      <c r="D50" s="11">
        <v>2008</v>
      </c>
      <c r="E50" s="11" t="s">
        <v>5</v>
      </c>
      <c r="F50" s="5">
        <v>3</v>
      </c>
      <c r="G50" s="4" t="s">
        <v>47</v>
      </c>
      <c r="H50" s="4" t="s">
        <v>48</v>
      </c>
      <c r="I50" s="11">
        <v>1.8599999999999998E-2</v>
      </c>
      <c r="J50" s="4">
        <v>3326</v>
      </c>
      <c r="K50" s="4">
        <v>0.59</v>
      </c>
      <c r="L50" s="11">
        <f t="shared" si="0"/>
        <v>0</v>
      </c>
    </row>
    <row r="51" spans="1:12" x14ac:dyDescent="0.25">
      <c r="A51" s="11">
        <v>4</v>
      </c>
      <c r="B51" s="11" t="s">
        <v>19</v>
      </c>
      <c r="C51" s="11">
        <v>5360</v>
      </c>
      <c r="D51" s="11">
        <v>2008</v>
      </c>
      <c r="E51" s="11" t="s">
        <v>15</v>
      </c>
      <c r="F51" s="5">
        <v>3</v>
      </c>
      <c r="G51" s="4" t="s">
        <v>47</v>
      </c>
      <c r="H51" s="4" t="s">
        <v>48</v>
      </c>
      <c r="I51" s="11">
        <v>-0.17100000000000001</v>
      </c>
      <c r="J51" s="4">
        <v>3326</v>
      </c>
      <c r="K51" s="4">
        <v>0.41</v>
      </c>
      <c r="L51" s="11">
        <f>IF(E51="Dinamico",2)</f>
        <v>2</v>
      </c>
    </row>
    <row r="52" spans="1:12" x14ac:dyDescent="0.25">
      <c r="A52" s="11">
        <v>4</v>
      </c>
      <c r="B52" s="11" t="s">
        <v>19</v>
      </c>
      <c r="C52" s="11">
        <v>37833</v>
      </c>
      <c r="D52" s="11">
        <v>2008</v>
      </c>
      <c r="E52" s="11" t="s">
        <v>6</v>
      </c>
      <c r="F52" s="5">
        <v>3</v>
      </c>
      <c r="G52" s="4" t="s">
        <v>47</v>
      </c>
      <c r="H52" s="4" t="s">
        <v>48</v>
      </c>
      <c r="I52" s="11">
        <v>-6.1899999999999997E-2</v>
      </c>
      <c r="J52" s="4">
        <v>3326</v>
      </c>
      <c r="K52" s="4">
        <v>0.36</v>
      </c>
      <c r="L52" s="11">
        <v>1</v>
      </c>
    </row>
    <row r="53" spans="1:12" x14ac:dyDescent="0.25">
      <c r="A53" s="11">
        <v>4</v>
      </c>
      <c r="B53" s="11" t="s">
        <v>19</v>
      </c>
      <c r="C53" s="11">
        <f>31711-21209</f>
        <v>10502</v>
      </c>
      <c r="D53" s="11">
        <v>2009</v>
      </c>
      <c r="E53" s="11" t="s">
        <v>5</v>
      </c>
      <c r="F53" s="5">
        <v>3</v>
      </c>
      <c r="G53" s="4" t="s">
        <v>47</v>
      </c>
      <c r="H53" s="4" t="s">
        <v>48</v>
      </c>
      <c r="I53" s="11">
        <v>5.6800000000000003E-2</v>
      </c>
      <c r="J53" s="4">
        <v>3610</v>
      </c>
      <c r="K53" s="4">
        <v>0.59</v>
      </c>
      <c r="L53" s="11">
        <f t="shared" si="0"/>
        <v>0</v>
      </c>
    </row>
    <row r="54" spans="1:12" x14ac:dyDescent="0.25">
      <c r="A54" s="11">
        <v>4</v>
      </c>
      <c r="B54" s="11" t="s">
        <v>19</v>
      </c>
      <c r="C54" s="11">
        <v>5308</v>
      </c>
      <c r="D54" s="11">
        <v>2009</v>
      </c>
      <c r="E54" s="11" t="s">
        <v>15</v>
      </c>
      <c r="F54" s="5">
        <v>3</v>
      </c>
      <c r="G54" s="4" t="s">
        <v>47</v>
      </c>
      <c r="H54" s="4" t="s">
        <v>48</v>
      </c>
      <c r="I54" s="11">
        <v>0.17510000000000001</v>
      </c>
      <c r="J54" s="4">
        <v>3610</v>
      </c>
      <c r="K54" s="4">
        <v>0.41</v>
      </c>
      <c r="L54" s="11">
        <f>IF(E54="Dinamico",2)</f>
        <v>2</v>
      </c>
    </row>
    <row r="55" spans="1:12" x14ac:dyDescent="0.25">
      <c r="A55" s="11">
        <v>4</v>
      </c>
      <c r="B55" s="11" t="s">
        <v>19</v>
      </c>
      <c r="C55" s="11">
        <v>37678</v>
      </c>
      <c r="D55" s="11">
        <v>2009</v>
      </c>
      <c r="E55" s="11" t="s">
        <v>6</v>
      </c>
      <c r="F55" s="5">
        <v>3</v>
      </c>
      <c r="G55" s="4" t="s">
        <v>47</v>
      </c>
      <c r="H55" s="4" t="s">
        <v>48</v>
      </c>
      <c r="I55" s="11">
        <v>0.1074</v>
      </c>
      <c r="J55" s="4">
        <v>3610</v>
      </c>
      <c r="K55" s="4">
        <v>0.36</v>
      </c>
      <c r="L55" s="11">
        <v>1</v>
      </c>
    </row>
    <row r="56" spans="1:12" x14ac:dyDescent="0.25">
      <c r="A56" s="11">
        <v>4</v>
      </c>
      <c r="B56" s="11" t="s">
        <v>19</v>
      </c>
      <c r="C56" s="11">
        <f>34007-24875</f>
        <v>9132</v>
      </c>
      <c r="D56" s="11">
        <v>2010</v>
      </c>
      <c r="E56" s="11" t="s">
        <v>5</v>
      </c>
      <c r="F56" s="5">
        <v>3</v>
      </c>
      <c r="G56" s="4" t="s">
        <v>47</v>
      </c>
      <c r="H56" s="4" t="s">
        <v>48</v>
      </c>
      <c r="I56" s="11">
        <v>-2.3999999999999998E-3</v>
      </c>
      <c r="J56" s="4">
        <v>3623</v>
      </c>
      <c r="K56" s="4">
        <v>0.59</v>
      </c>
      <c r="L56" s="11">
        <f t="shared" si="0"/>
        <v>0</v>
      </c>
    </row>
    <row r="57" spans="1:12" x14ac:dyDescent="0.25">
      <c r="A57" s="11">
        <v>4</v>
      </c>
      <c r="B57" s="11" t="s">
        <v>19</v>
      </c>
      <c r="C57" s="11">
        <v>5176</v>
      </c>
      <c r="D57" s="11">
        <v>2010</v>
      </c>
      <c r="E57" s="11" t="s">
        <v>15</v>
      </c>
      <c r="F57" s="5">
        <v>3</v>
      </c>
      <c r="G57" s="4" t="s">
        <v>47</v>
      </c>
      <c r="H57" s="4" t="s">
        <v>48</v>
      </c>
      <c r="I57" s="11">
        <v>6.4799999999999996E-2</v>
      </c>
      <c r="J57" s="4">
        <v>3623</v>
      </c>
      <c r="K57" s="4">
        <v>0.41</v>
      </c>
      <c r="L57" s="11">
        <f>IF(E57="Dinamico",2)</f>
        <v>2</v>
      </c>
    </row>
    <row r="58" spans="1:12" x14ac:dyDescent="0.25">
      <c r="A58" s="11">
        <v>4</v>
      </c>
      <c r="B58" s="11" t="s">
        <v>19</v>
      </c>
      <c r="C58" s="11">
        <v>36254</v>
      </c>
      <c r="D58" s="11">
        <v>2010</v>
      </c>
      <c r="E58" s="11" t="s">
        <v>6</v>
      </c>
      <c r="F58" s="5">
        <v>3</v>
      </c>
      <c r="G58" s="4" t="s">
        <v>47</v>
      </c>
      <c r="H58" s="4" t="s">
        <v>48</v>
      </c>
      <c r="I58" s="11">
        <v>3.8300000000000001E-2</v>
      </c>
      <c r="J58" s="4">
        <v>3623</v>
      </c>
      <c r="K58" s="4">
        <v>0.36</v>
      </c>
      <c r="L58" s="11">
        <v>1</v>
      </c>
    </row>
    <row r="59" spans="1:12" x14ac:dyDescent="0.25">
      <c r="A59" s="11">
        <v>4</v>
      </c>
      <c r="B59" s="11" t="s">
        <v>19</v>
      </c>
      <c r="C59" s="11">
        <v>10983</v>
      </c>
      <c r="D59" s="11">
        <v>2011</v>
      </c>
      <c r="E59" s="11" t="s">
        <v>5</v>
      </c>
      <c r="F59" s="5">
        <v>3</v>
      </c>
      <c r="G59" s="4" t="s">
        <v>47</v>
      </c>
      <c r="H59" s="4" t="s">
        <v>48</v>
      </c>
      <c r="I59" s="11">
        <v>1.8E-3</v>
      </c>
      <c r="J59" s="4">
        <v>3716</v>
      </c>
      <c r="K59" s="4">
        <v>0.59</v>
      </c>
      <c r="L59" s="11">
        <f t="shared" si="0"/>
        <v>0</v>
      </c>
    </row>
    <row r="60" spans="1:12" x14ac:dyDescent="0.25">
      <c r="A60" s="11">
        <v>4</v>
      </c>
      <c r="B60" s="11" t="s">
        <v>19</v>
      </c>
      <c r="C60" s="11">
        <v>5109</v>
      </c>
      <c r="D60" s="11">
        <v>2011</v>
      </c>
      <c r="E60" s="11" t="s">
        <v>15</v>
      </c>
      <c r="F60" s="5">
        <v>3</v>
      </c>
      <c r="G60" s="4" t="s">
        <v>47</v>
      </c>
      <c r="H60" s="4" t="s">
        <v>48</v>
      </c>
      <c r="I60" s="11">
        <v>-2.8400000000000002E-2</v>
      </c>
      <c r="J60" s="4">
        <v>3716</v>
      </c>
      <c r="K60" s="4">
        <v>0.41</v>
      </c>
      <c r="L60" s="11">
        <f>IF(E60="Dinamico",2)</f>
        <v>2</v>
      </c>
    </row>
    <row r="61" spans="1:12" x14ac:dyDescent="0.25">
      <c r="A61" s="11">
        <v>4</v>
      </c>
      <c r="B61" s="11" t="s">
        <v>19</v>
      </c>
      <c r="C61" s="11">
        <v>35441</v>
      </c>
      <c r="D61" s="11">
        <v>2011</v>
      </c>
      <c r="E61" s="11" t="s">
        <v>6</v>
      </c>
      <c r="F61" s="5">
        <v>3</v>
      </c>
      <c r="G61" s="4" t="s">
        <v>47</v>
      </c>
      <c r="H61" s="4" t="s">
        <v>48</v>
      </c>
      <c r="I61" s="11">
        <v>6.0000000000000001E-3</v>
      </c>
      <c r="J61" s="4">
        <v>3716</v>
      </c>
      <c r="K61" s="4">
        <v>0.36</v>
      </c>
      <c r="L61" s="11">
        <v>1</v>
      </c>
    </row>
    <row r="62" spans="1:12" x14ac:dyDescent="0.25">
      <c r="A62" s="11">
        <v>5</v>
      </c>
      <c r="B62" s="11" t="s">
        <v>22</v>
      </c>
      <c r="C62" s="11">
        <v>33</v>
      </c>
      <c r="D62" s="11">
        <v>2007</v>
      </c>
      <c r="E62" s="11" t="s">
        <v>5</v>
      </c>
      <c r="F62" s="5">
        <v>6</v>
      </c>
      <c r="G62" s="4" t="s">
        <v>49</v>
      </c>
      <c r="H62" s="4" t="s">
        <v>43</v>
      </c>
      <c r="I62" s="11">
        <v>2.3599999999999999E-2</v>
      </c>
      <c r="J62" s="4">
        <v>39</v>
      </c>
      <c r="K62" s="4">
        <v>0.35</v>
      </c>
      <c r="L62" s="11">
        <f t="shared" si="0"/>
        <v>0</v>
      </c>
    </row>
    <row r="63" spans="1:12" x14ac:dyDescent="0.25">
      <c r="A63" s="11">
        <v>5</v>
      </c>
      <c r="B63" s="11" t="s">
        <v>22</v>
      </c>
      <c r="C63" s="11">
        <v>0</v>
      </c>
      <c r="D63" s="11">
        <v>2007</v>
      </c>
      <c r="E63" s="11" t="s">
        <v>15</v>
      </c>
      <c r="F63" s="5">
        <v>6</v>
      </c>
      <c r="G63" s="4" t="s">
        <v>49</v>
      </c>
      <c r="H63" s="4" t="s">
        <v>43</v>
      </c>
      <c r="J63" s="4">
        <v>39</v>
      </c>
      <c r="K63" s="4">
        <v>0.32</v>
      </c>
      <c r="L63" s="11">
        <f>IF(E63="Dinamico",2)</f>
        <v>2</v>
      </c>
    </row>
    <row r="64" spans="1:12" x14ac:dyDescent="0.25">
      <c r="A64" s="11">
        <v>5</v>
      </c>
      <c r="B64" s="11" t="s">
        <v>22</v>
      </c>
      <c r="C64" s="11">
        <v>43025</v>
      </c>
      <c r="D64" s="11">
        <v>2007</v>
      </c>
      <c r="E64" s="11" t="s">
        <v>6</v>
      </c>
      <c r="F64" s="3">
        <v>6</v>
      </c>
      <c r="G64" s="4" t="s">
        <v>49</v>
      </c>
      <c r="H64" s="4" t="s">
        <v>43</v>
      </c>
      <c r="I64" s="11">
        <v>1.7299999999999999E-2</v>
      </c>
      <c r="J64" s="4">
        <v>39</v>
      </c>
      <c r="K64" s="4">
        <v>0.42</v>
      </c>
      <c r="L64" s="11">
        <v>1</v>
      </c>
    </row>
    <row r="65" spans="1:12" x14ac:dyDescent="0.25">
      <c r="A65" s="11">
        <v>5</v>
      </c>
      <c r="B65" s="11" t="s">
        <v>22</v>
      </c>
      <c r="C65" s="11">
        <f>1616-1137</f>
        <v>479</v>
      </c>
      <c r="D65" s="11">
        <v>2008</v>
      </c>
      <c r="E65" s="11" t="s">
        <v>5</v>
      </c>
      <c r="F65" s="5">
        <v>6</v>
      </c>
      <c r="G65" s="4" t="s">
        <v>49</v>
      </c>
      <c r="H65" s="4" t="s">
        <v>43</v>
      </c>
      <c r="I65" s="11">
        <v>4.1799999999999997E-2</v>
      </c>
      <c r="J65" s="4">
        <v>60</v>
      </c>
      <c r="K65" s="4">
        <v>0.35</v>
      </c>
      <c r="L65" s="11">
        <f t="shared" si="0"/>
        <v>0</v>
      </c>
    </row>
    <row r="66" spans="1:12" x14ac:dyDescent="0.25">
      <c r="A66" s="11">
        <v>5</v>
      </c>
      <c r="B66" s="11" t="s">
        <v>22</v>
      </c>
      <c r="C66" s="11">
        <v>0</v>
      </c>
      <c r="D66" s="11">
        <v>2008</v>
      </c>
      <c r="E66" s="11" t="s">
        <v>15</v>
      </c>
      <c r="F66" s="5">
        <v>6</v>
      </c>
      <c r="G66" s="4" t="s">
        <v>49</v>
      </c>
      <c r="H66" s="4" t="s">
        <v>43</v>
      </c>
      <c r="J66" s="4">
        <v>60</v>
      </c>
      <c r="K66" s="4">
        <v>0.32</v>
      </c>
      <c r="L66" s="11">
        <f>IF(E66="Dinamico",2)</f>
        <v>2</v>
      </c>
    </row>
    <row r="67" spans="1:12" x14ac:dyDescent="0.25">
      <c r="A67" s="11">
        <v>5</v>
      </c>
      <c r="B67" s="11" t="s">
        <v>22</v>
      </c>
      <c r="C67" s="11">
        <v>41655</v>
      </c>
      <c r="D67" s="11">
        <v>2008</v>
      </c>
      <c r="E67" s="11" t="s">
        <v>6</v>
      </c>
      <c r="F67" s="5">
        <v>6</v>
      </c>
      <c r="G67" s="4" t="s">
        <v>49</v>
      </c>
      <c r="H67" s="4" t="s">
        <v>43</v>
      </c>
      <c r="I67" s="11">
        <v>-3.2899999999999999E-2</v>
      </c>
      <c r="J67" s="4">
        <v>60</v>
      </c>
      <c r="K67" s="4">
        <v>0.42</v>
      </c>
      <c r="L67" s="11">
        <v>1</v>
      </c>
    </row>
    <row r="68" spans="1:12" x14ac:dyDescent="0.25">
      <c r="A68" s="11">
        <v>5</v>
      </c>
      <c r="B68" s="11" t="s">
        <v>22</v>
      </c>
      <c r="C68" s="11">
        <f>3912-1137</f>
        <v>2775</v>
      </c>
      <c r="D68" s="11">
        <v>2009</v>
      </c>
      <c r="E68" s="11" t="s">
        <v>5</v>
      </c>
      <c r="F68" s="5">
        <v>6</v>
      </c>
      <c r="G68" s="4" t="s">
        <v>49</v>
      </c>
      <c r="H68" s="4" t="s">
        <v>43</v>
      </c>
      <c r="I68" s="11">
        <v>3.1600000000000003E-2</v>
      </c>
      <c r="J68" s="4">
        <v>70</v>
      </c>
      <c r="K68" s="4">
        <v>0.35</v>
      </c>
      <c r="L68" s="11">
        <f t="shared" ref="L68:L128" si="1">IF(E68="Garantito",0)</f>
        <v>0</v>
      </c>
    </row>
    <row r="69" spans="1:12" x14ac:dyDescent="0.25">
      <c r="A69" s="11">
        <v>5</v>
      </c>
      <c r="B69" s="11" t="s">
        <v>22</v>
      </c>
      <c r="C69" s="11">
        <v>162</v>
      </c>
      <c r="D69" s="11">
        <v>2009</v>
      </c>
      <c r="E69" s="11" t="s">
        <v>15</v>
      </c>
      <c r="F69" s="5">
        <v>6</v>
      </c>
      <c r="G69" s="4" t="s">
        <v>49</v>
      </c>
      <c r="H69" s="4" t="s">
        <v>43</v>
      </c>
      <c r="I69" s="11">
        <v>0.1527</v>
      </c>
      <c r="J69" s="4">
        <v>70</v>
      </c>
      <c r="K69" s="4">
        <v>0.32</v>
      </c>
      <c r="L69" s="11">
        <f>IF(E69="Dinamico",2)</f>
        <v>2</v>
      </c>
    </row>
    <row r="70" spans="1:12" x14ac:dyDescent="0.25">
      <c r="A70" s="11">
        <v>5</v>
      </c>
      <c r="B70" s="11" t="s">
        <v>22</v>
      </c>
      <c r="C70" s="11">
        <v>38533</v>
      </c>
      <c r="D70" s="11">
        <v>2009</v>
      </c>
      <c r="E70" s="11" t="s">
        <v>6</v>
      </c>
      <c r="F70" s="5">
        <v>6</v>
      </c>
      <c r="G70" s="4" t="s">
        <v>49</v>
      </c>
      <c r="H70" s="4" t="s">
        <v>43</v>
      </c>
      <c r="I70" s="11">
        <v>8.0399999999999999E-2</v>
      </c>
      <c r="J70" s="4">
        <v>70</v>
      </c>
      <c r="K70" s="4">
        <v>0.42</v>
      </c>
      <c r="L70" s="11">
        <v>1</v>
      </c>
    </row>
    <row r="71" spans="1:12" x14ac:dyDescent="0.25">
      <c r="A71" s="11">
        <v>5</v>
      </c>
      <c r="B71" s="11" t="s">
        <v>22</v>
      </c>
      <c r="C71" s="11">
        <f>5769-1137</f>
        <v>4632</v>
      </c>
      <c r="D71" s="11">
        <v>2010</v>
      </c>
      <c r="E71" s="11" t="s">
        <v>5</v>
      </c>
      <c r="F71" s="5">
        <v>6</v>
      </c>
      <c r="G71" s="4" t="s">
        <v>49</v>
      </c>
      <c r="H71" s="4" t="s">
        <v>43</v>
      </c>
      <c r="I71" s="11">
        <v>1.15E-2</v>
      </c>
      <c r="J71" s="4">
        <v>74</v>
      </c>
      <c r="K71" s="4">
        <v>0.35</v>
      </c>
      <c r="L71" s="11">
        <f t="shared" si="1"/>
        <v>0</v>
      </c>
    </row>
    <row r="72" spans="1:12" x14ac:dyDescent="0.25">
      <c r="A72" s="11">
        <v>5</v>
      </c>
      <c r="B72" s="11" t="s">
        <v>22</v>
      </c>
      <c r="C72" s="11">
        <v>308</v>
      </c>
      <c r="D72" s="11">
        <v>2010</v>
      </c>
      <c r="E72" s="11" t="s">
        <v>15</v>
      </c>
      <c r="F72" s="5">
        <v>6</v>
      </c>
      <c r="G72" s="4" t="s">
        <v>49</v>
      </c>
      <c r="H72" s="4" t="s">
        <v>43</v>
      </c>
      <c r="I72" s="11">
        <v>4.4299999999999999E-2</v>
      </c>
      <c r="J72" s="4">
        <v>74</v>
      </c>
      <c r="K72" s="4">
        <v>0.32</v>
      </c>
      <c r="L72" s="11">
        <f>IF(E72="Dinamico",2)</f>
        <v>2</v>
      </c>
    </row>
    <row r="73" spans="1:12" x14ac:dyDescent="0.25">
      <c r="A73" s="11">
        <v>5</v>
      </c>
      <c r="B73" s="11" t="s">
        <v>22</v>
      </c>
      <c r="C73" s="11">
        <v>37626</v>
      </c>
      <c r="D73" s="11">
        <v>2010</v>
      </c>
      <c r="E73" s="11" t="s">
        <v>6</v>
      </c>
      <c r="F73" s="5">
        <v>6</v>
      </c>
      <c r="G73" s="4" t="s">
        <v>49</v>
      </c>
      <c r="H73" s="4" t="s">
        <v>43</v>
      </c>
      <c r="I73" s="11">
        <v>2.75E-2</v>
      </c>
      <c r="J73" s="4">
        <v>74</v>
      </c>
      <c r="K73" s="4">
        <v>0.42</v>
      </c>
      <c r="L73" s="11">
        <v>1</v>
      </c>
    </row>
    <row r="74" spans="1:12" x14ac:dyDescent="0.25">
      <c r="A74" s="11">
        <v>5</v>
      </c>
      <c r="B74" s="11" t="s">
        <v>22</v>
      </c>
      <c r="C74" s="11">
        <v>4738</v>
      </c>
      <c r="D74" s="11">
        <v>2011</v>
      </c>
      <c r="E74" s="11" t="s">
        <v>5</v>
      </c>
      <c r="F74" s="5">
        <v>6</v>
      </c>
      <c r="G74" s="4" t="s">
        <v>49</v>
      </c>
      <c r="H74" s="4" t="s">
        <v>43</v>
      </c>
      <c r="I74" s="11">
        <v>6.6E-3</v>
      </c>
      <c r="J74" s="4">
        <v>96</v>
      </c>
      <c r="K74" s="4">
        <v>0.35</v>
      </c>
      <c r="L74" s="11">
        <f t="shared" si="1"/>
        <v>0</v>
      </c>
    </row>
    <row r="75" spans="1:12" x14ac:dyDescent="0.25">
      <c r="A75" s="11">
        <v>5</v>
      </c>
      <c r="B75" s="11" t="s">
        <v>22</v>
      </c>
      <c r="C75" s="11">
        <v>421</v>
      </c>
      <c r="D75" s="11">
        <v>2011</v>
      </c>
      <c r="E75" s="11" t="s">
        <v>15</v>
      </c>
      <c r="F75" s="5">
        <v>6</v>
      </c>
      <c r="G75" s="4" t="s">
        <v>49</v>
      </c>
      <c r="H75" s="4" t="s">
        <v>43</v>
      </c>
      <c r="I75" s="11">
        <v>1.1000000000000001E-3</v>
      </c>
      <c r="J75" s="4">
        <v>96</v>
      </c>
      <c r="K75" s="4">
        <v>0.32</v>
      </c>
      <c r="L75" s="11">
        <f>IF(E75="Dinamico",2)</f>
        <v>2</v>
      </c>
    </row>
    <row r="76" spans="1:12" x14ac:dyDescent="0.25">
      <c r="A76" s="11">
        <v>5</v>
      </c>
      <c r="B76" s="11" t="s">
        <v>22</v>
      </c>
      <c r="C76" s="11">
        <v>36018</v>
      </c>
      <c r="D76" s="11">
        <v>2011</v>
      </c>
      <c r="E76" s="11" t="s">
        <v>6</v>
      </c>
      <c r="F76" s="5">
        <v>6</v>
      </c>
      <c r="G76" s="4" t="s">
        <v>49</v>
      </c>
      <c r="H76" s="4" t="s">
        <v>43</v>
      </c>
      <c r="I76" s="4">
        <v>7.9000000000000008E-3</v>
      </c>
      <c r="J76" s="4">
        <v>96</v>
      </c>
      <c r="K76" s="4">
        <v>0.42</v>
      </c>
      <c r="L76" s="11">
        <v>1</v>
      </c>
    </row>
    <row r="77" spans="1:12" x14ac:dyDescent="0.25">
      <c r="A77" s="11">
        <v>6</v>
      </c>
      <c r="B77" s="11" t="s">
        <v>21</v>
      </c>
      <c r="C77" s="11">
        <f>2246-2000</f>
        <v>246</v>
      </c>
      <c r="D77" s="11">
        <v>2007</v>
      </c>
      <c r="E77" s="11" t="s">
        <v>5</v>
      </c>
      <c r="F77" s="5">
        <v>3</v>
      </c>
      <c r="G77" s="4" t="s">
        <v>50</v>
      </c>
      <c r="H77" s="4" t="s">
        <v>40</v>
      </c>
      <c r="I77" s="4">
        <v>2.5100000000000001E-2</v>
      </c>
      <c r="J77" s="4">
        <v>2349</v>
      </c>
      <c r="K77" s="4">
        <v>0.47</v>
      </c>
      <c r="L77" s="11">
        <f t="shared" si="1"/>
        <v>0</v>
      </c>
    </row>
    <row r="78" spans="1:12" x14ac:dyDescent="0.25">
      <c r="A78" s="11">
        <v>6</v>
      </c>
      <c r="B78" s="11" t="s">
        <v>21</v>
      </c>
      <c r="C78" s="11">
        <f>6043</f>
        <v>6043</v>
      </c>
      <c r="D78" s="11">
        <v>2007</v>
      </c>
      <c r="E78" s="11" t="s">
        <v>15</v>
      </c>
      <c r="F78" s="5">
        <v>3</v>
      </c>
      <c r="G78" s="4" t="s">
        <v>50</v>
      </c>
      <c r="H78" s="4" t="s">
        <v>40</v>
      </c>
      <c r="I78" s="11">
        <v>2.7099999999999999E-2</v>
      </c>
      <c r="J78" s="4">
        <v>2349</v>
      </c>
      <c r="K78" s="4">
        <v>0.48</v>
      </c>
      <c r="L78" s="11">
        <f>IF(E78="Dinamico",2)</f>
        <v>2</v>
      </c>
    </row>
    <row r="79" spans="1:12" x14ac:dyDescent="0.25">
      <c r="A79" s="11">
        <v>6</v>
      </c>
      <c r="B79" s="11" t="s">
        <v>21</v>
      </c>
      <c r="C79" s="11">
        <v>153172</v>
      </c>
      <c r="D79" s="11">
        <v>2007</v>
      </c>
      <c r="E79" s="11" t="s">
        <v>6</v>
      </c>
      <c r="F79" s="3">
        <v>3</v>
      </c>
      <c r="G79" s="4" t="s">
        <v>50</v>
      </c>
      <c r="H79" s="4" t="s">
        <v>40</v>
      </c>
      <c r="I79" s="11">
        <v>3.1E-2</v>
      </c>
      <c r="J79" s="4">
        <v>2349</v>
      </c>
      <c r="K79" s="4">
        <v>0.42</v>
      </c>
      <c r="L79" s="11">
        <v>1</v>
      </c>
    </row>
    <row r="80" spans="1:12" x14ac:dyDescent="0.25">
      <c r="A80" s="11">
        <v>6</v>
      </c>
      <c r="B80" s="11" t="s">
        <v>21</v>
      </c>
      <c r="C80" s="11">
        <f>3272-2404</f>
        <v>868</v>
      </c>
      <c r="D80" s="11">
        <v>2008</v>
      </c>
      <c r="E80" s="11" t="s">
        <v>5</v>
      </c>
      <c r="F80" s="5">
        <v>3</v>
      </c>
      <c r="G80" s="4" t="s">
        <v>50</v>
      </c>
      <c r="H80" s="4" t="s">
        <v>40</v>
      </c>
      <c r="I80" s="11">
        <v>4.3900000000000002E-2</v>
      </c>
      <c r="J80" s="4">
        <v>2374</v>
      </c>
      <c r="K80" s="4">
        <v>0.47</v>
      </c>
      <c r="L80" s="11">
        <f t="shared" si="1"/>
        <v>0</v>
      </c>
    </row>
    <row r="81" spans="1:12" x14ac:dyDescent="0.25">
      <c r="A81" s="11">
        <v>6</v>
      </c>
      <c r="B81" s="11" t="s">
        <v>21</v>
      </c>
      <c r="C81" s="11">
        <v>6245</v>
      </c>
      <c r="D81" s="11">
        <v>2008</v>
      </c>
      <c r="E81" s="11" t="s">
        <v>15</v>
      </c>
      <c r="F81" s="5">
        <v>3</v>
      </c>
      <c r="G81" s="4" t="s">
        <v>50</v>
      </c>
      <c r="H81" s="4" t="s">
        <v>40</v>
      </c>
      <c r="I81" s="11">
        <v>-0.25069999999999998</v>
      </c>
      <c r="J81" s="4">
        <v>2374</v>
      </c>
      <c r="K81" s="4">
        <v>0.48</v>
      </c>
      <c r="L81" s="11">
        <f>IF(E81="Dinamico",2)</f>
        <v>2</v>
      </c>
    </row>
    <row r="82" spans="1:12" x14ac:dyDescent="0.25">
      <c r="A82" s="11">
        <v>6</v>
      </c>
      <c r="B82" s="11" t="s">
        <v>21</v>
      </c>
      <c r="C82" s="11">
        <v>150108</v>
      </c>
      <c r="D82" s="11">
        <v>2008</v>
      </c>
      <c r="E82" s="11" t="s">
        <v>6</v>
      </c>
      <c r="F82" s="5">
        <v>3</v>
      </c>
      <c r="G82" s="4" t="s">
        <v>50</v>
      </c>
      <c r="H82" s="4" t="s">
        <v>40</v>
      </c>
      <c r="I82" s="11">
        <v>-9.4799999999999995E-2</v>
      </c>
      <c r="J82" s="4">
        <v>2374</v>
      </c>
      <c r="K82" s="4">
        <v>0.42</v>
      </c>
      <c r="L82" s="11">
        <v>1</v>
      </c>
    </row>
    <row r="83" spans="1:12" x14ac:dyDescent="0.25">
      <c r="A83" s="11">
        <v>6</v>
      </c>
      <c r="B83" s="11" t="s">
        <v>21</v>
      </c>
      <c r="C83" s="11">
        <f>6224-2404</f>
        <v>3820</v>
      </c>
      <c r="D83" s="11">
        <v>2009</v>
      </c>
      <c r="E83" s="11" t="s">
        <v>5</v>
      </c>
      <c r="F83" s="5">
        <v>3</v>
      </c>
      <c r="G83" s="4" t="s">
        <v>50</v>
      </c>
      <c r="H83" s="4" t="s">
        <v>40</v>
      </c>
      <c r="I83" s="11">
        <v>1.5900000000000001E-2</v>
      </c>
      <c r="J83" s="4">
        <v>2365</v>
      </c>
      <c r="K83" s="4">
        <v>0.47</v>
      </c>
      <c r="L83" s="11">
        <f t="shared" si="1"/>
        <v>0</v>
      </c>
    </row>
    <row r="84" spans="1:12" x14ac:dyDescent="0.25">
      <c r="A84" s="11">
        <v>6</v>
      </c>
      <c r="B84" s="11" t="s">
        <v>21</v>
      </c>
      <c r="C84" s="11">
        <v>6681</v>
      </c>
      <c r="D84" s="11">
        <v>2009</v>
      </c>
      <c r="E84" s="11" t="s">
        <v>15</v>
      </c>
      <c r="F84" s="5">
        <v>3</v>
      </c>
      <c r="G84" s="4" t="s">
        <v>50</v>
      </c>
      <c r="H84" s="4" t="s">
        <v>40</v>
      </c>
      <c r="I84" s="11">
        <v>0.159</v>
      </c>
      <c r="J84" s="4">
        <v>2365</v>
      </c>
      <c r="K84" s="4">
        <v>0.48</v>
      </c>
      <c r="L84" s="11">
        <f>IF(E84="Dinamico",2)</f>
        <v>2</v>
      </c>
    </row>
    <row r="85" spans="1:12" x14ac:dyDescent="0.25">
      <c r="A85" s="11">
        <v>6</v>
      </c>
      <c r="B85" s="11" t="s">
        <v>21</v>
      </c>
      <c r="C85" s="11">
        <v>145799</v>
      </c>
      <c r="D85" s="11">
        <v>2009</v>
      </c>
      <c r="E85" s="11" t="s">
        <v>6</v>
      </c>
      <c r="F85" s="5">
        <v>3</v>
      </c>
      <c r="G85" s="4" t="s">
        <v>50</v>
      </c>
      <c r="H85" s="4" t="s">
        <v>40</v>
      </c>
      <c r="I85" s="11">
        <v>0.1075</v>
      </c>
      <c r="J85" s="4">
        <v>2365</v>
      </c>
      <c r="K85" s="4">
        <v>0.42</v>
      </c>
      <c r="L85" s="11">
        <v>1</v>
      </c>
    </row>
    <row r="86" spans="1:12" x14ac:dyDescent="0.25">
      <c r="A86" s="11">
        <v>6</v>
      </c>
      <c r="B86" s="11" t="s">
        <v>21</v>
      </c>
      <c r="C86" s="11">
        <f>5967-2234</f>
        <v>3733</v>
      </c>
      <c r="D86" s="11">
        <v>2010</v>
      </c>
      <c r="E86" s="11" t="s">
        <v>5</v>
      </c>
      <c r="F86" s="5">
        <v>3</v>
      </c>
      <c r="G86" s="4" t="s">
        <v>50</v>
      </c>
      <c r="H86" s="4" t="s">
        <v>40</v>
      </c>
      <c r="I86" s="11">
        <v>2.8999999999999998E-3</v>
      </c>
      <c r="J86" s="4">
        <v>2369</v>
      </c>
      <c r="K86" s="4">
        <v>0.47</v>
      </c>
      <c r="L86" s="11">
        <f t="shared" si="1"/>
        <v>0</v>
      </c>
    </row>
    <row r="87" spans="1:12" x14ac:dyDescent="0.25">
      <c r="A87" s="11">
        <v>6</v>
      </c>
      <c r="B87" s="11" t="s">
        <v>21</v>
      </c>
      <c r="C87" s="11">
        <v>6683</v>
      </c>
      <c r="D87" s="11">
        <v>2010</v>
      </c>
      <c r="E87" s="11" t="s">
        <v>15</v>
      </c>
      <c r="F87" s="5">
        <v>3</v>
      </c>
      <c r="G87" s="4" t="s">
        <v>50</v>
      </c>
      <c r="H87" s="4" t="s">
        <v>40</v>
      </c>
      <c r="I87" s="11">
        <v>6.0199999999999997E-2</v>
      </c>
      <c r="J87" s="4">
        <v>2369</v>
      </c>
      <c r="K87" s="4">
        <v>0.48</v>
      </c>
      <c r="L87" s="11">
        <f>IF(E87="Dinamico",2)</f>
        <v>2</v>
      </c>
    </row>
    <row r="88" spans="1:12" x14ac:dyDescent="0.25">
      <c r="A88" s="11">
        <v>6</v>
      </c>
      <c r="B88" s="11" t="s">
        <v>21</v>
      </c>
      <c r="C88" s="11">
        <v>141813</v>
      </c>
      <c r="D88" s="11">
        <v>2010</v>
      </c>
      <c r="E88" s="11" t="s">
        <v>6</v>
      </c>
      <c r="F88" s="5">
        <v>3</v>
      </c>
      <c r="G88" s="4" t="s">
        <v>50</v>
      </c>
      <c r="H88" s="4" t="s">
        <v>40</v>
      </c>
      <c r="I88" s="11">
        <v>2.2700000000000001E-2</v>
      </c>
      <c r="J88" s="4">
        <v>2369</v>
      </c>
      <c r="K88" s="4">
        <v>0.42</v>
      </c>
      <c r="L88" s="11">
        <v>1</v>
      </c>
    </row>
    <row r="89" spans="1:12" x14ac:dyDescent="0.25">
      <c r="A89" s="11">
        <v>6</v>
      </c>
      <c r="B89" s="11" t="s">
        <v>21</v>
      </c>
      <c r="C89" s="11">
        <v>3685</v>
      </c>
      <c r="D89" s="11">
        <v>2011</v>
      </c>
      <c r="E89" s="11" t="s">
        <v>5</v>
      </c>
      <c r="F89" s="5">
        <v>3</v>
      </c>
      <c r="G89" s="4" t="s">
        <v>50</v>
      </c>
      <c r="H89" s="4" t="s">
        <v>40</v>
      </c>
      <c r="I89" s="11">
        <v>1.52E-2</v>
      </c>
      <c r="J89" s="4">
        <v>2434</v>
      </c>
      <c r="K89" s="4">
        <v>0.47</v>
      </c>
      <c r="L89" s="11">
        <f t="shared" si="1"/>
        <v>0</v>
      </c>
    </row>
    <row r="90" spans="1:12" x14ac:dyDescent="0.25">
      <c r="A90" s="11">
        <v>6</v>
      </c>
      <c r="B90" s="11" t="s">
        <v>21</v>
      </c>
      <c r="C90" s="11">
        <v>6804</v>
      </c>
      <c r="D90" s="11">
        <v>2011</v>
      </c>
      <c r="E90" s="11" t="s">
        <v>15</v>
      </c>
      <c r="F90" s="5">
        <v>3</v>
      </c>
      <c r="G90" s="4" t="s">
        <v>50</v>
      </c>
      <c r="H90" s="4" t="s">
        <v>40</v>
      </c>
      <c r="I90" s="11">
        <v>-3.9899999999999998E-2</v>
      </c>
      <c r="J90" s="4">
        <v>2434</v>
      </c>
      <c r="K90" s="4">
        <v>0.48</v>
      </c>
      <c r="L90" s="11">
        <f>IF(E90="Dinamico",2)</f>
        <v>2</v>
      </c>
    </row>
    <row r="91" spans="1:12" x14ac:dyDescent="0.25">
      <c r="A91" s="11">
        <v>6</v>
      </c>
      <c r="B91" s="11" t="s">
        <v>21</v>
      </c>
      <c r="C91" s="11">
        <v>19733</v>
      </c>
      <c r="D91" s="11">
        <v>2011</v>
      </c>
      <c r="E91" s="11" t="s">
        <v>6</v>
      </c>
      <c r="F91" s="5">
        <v>3</v>
      </c>
      <c r="G91" s="4" t="s">
        <v>50</v>
      </c>
      <c r="H91" s="4" t="s">
        <v>40</v>
      </c>
      <c r="I91" s="11">
        <v>-1.2500000000000001E-2</v>
      </c>
      <c r="J91" s="4">
        <v>2434</v>
      </c>
      <c r="K91" s="4">
        <v>0.42</v>
      </c>
      <c r="L91" s="11">
        <v>1</v>
      </c>
    </row>
    <row r="92" spans="1:12" x14ac:dyDescent="0.25">
      <c r="A92" s="11">
        <v>7</v>
      </c>
      <c r="B92" s="11" t="s">
        <v>24</v>
      </c>
      <c r="C92" s="11">
        <f>8420-2530</f>
        <v>5890</v>
      </c>
      <c r="D92" s="11">
        <v>2007</v>
      </c>
      <c r="E92" s="11" t="s">
        <v>5</v>
      </c>
      <c r="F92" s="5">
        <v>5</v>
      </c>
      <c r="G92" s="4" t="s">
        <v>51</v>
      </c>
      <c r="H92" s="4" t="s">
        <v>48</v>
      </c>
      <c r="I92" s="11">
        <v>5.3E-3</v>
      </c>
      <c r="J92" s="4">
        <v>4764</v>
      </c>
      <c r="K92" s="4">
        <v>0.49</v>
      </c>
      <c r="L92" s="11">
        <f t="shared" si="1"/>
        <v>0</v>
      </c>
    </row>
    <row r="93" spans="1:12" x14ac:dyDescent="0.25">
      <c r="A93" s="11">
        <v>7</v>
      </c>
      <c r="B93" s="11" t="s">
        <v>24</v>
      </c>
      <c r="C93" s="11">
        <v>1772</v>
      </c>
      <c r="D93" s="11">
        <v>2007</v>
      </c>
      <c r="E93" s="11" t="s">
        <v>15</v>
      </c>
      <c r="F93" s="5">
        <v>5</v>
      </c>
      <c r="G93" s="4" t="s">
        <v>51</v>
      </c>
      <c r="H93" s="4" t="s">
        <v>48</v>
      </c>
      <c r="I93" s="11">
        <v>2.47E-2</v>
      </c>
      <c r="J93" s="4">
        <v>4764</v>
      </c>
      <c r="K93" s="4">
        <v>0.49</v>
      </c>
      <c r="L93" s="11">
        <f>IF(E93="Dinamico",2)</f>
        <v>2</v>
      </c>
    </row>
    <row r="94" spans="1:12" x14ac:dyDescent="0.25">
      <c r="A94" s="11">
        <v>7</v>
      </c>
      <c r="B94" s="11" t="s">
        <v>24</v>
      </c>
      <c r="C94" s="11">
        <v>34123</v>
      </c>
      <c r="D94" s="11">
        <v>2007</v>
      </c>
      <c r="E94" s="11" t="s">
        <v>6</v>
      </c>
      <c r="F94" s="3">
        <v>5</v>
      </c>
      <c r="G94" s="4" t="s">
        <v>51</v>
      </c>
      <c r="H94" s="4" t="s">
        <v>48</v>
      </c>
      <c r="I94" s="11">
        <v>2.47E-2</v>
      </c>
      <c r="J94" s="4">
        <v>4764</v>
      </c>
      <c r="K94" s="4">
        <v>0.48</v>
      </c>
      <c r="L94" s="11">
        <v>1</v>
      </c>
    </row>
    <row r="95" spans="1:12" x14ac:dyDescent="0.25">
      <c r="A95" s="11">
        <v>7</v>
      </c>
      <c r="B95" s="11" t="s">
        <v>24</v>
      </c>
      <c r="C95" s="11">
        <f>8508-2568</f>
        <v>5940</v>
      </c>
      <c r="D95" s="11">
        <v>2008</v>
      </c>
      <c r="E95" s="11" t="s">
        <v>5</v>
      </c>
      <c r="F95" s="5">
        <v>5</v>
      </c>
      <c r="G95" s="4" t="s">
        <v>51</v>
      </c>
      <c r="H95" s="4" t="s">
        <v>48</v>
      </c>
      <c r="I95" s="11">
        <v>3.5000000000000001E-3</v>
      </c>
      <c r="J95" s="4">
        <v>5201</v>
      </c>
      <c r="K95" s="4">
        <v>0.49</v>
      </c>
      <c r="L95" s="11">
        <f t="shared" si="1"/>
        <v>0</v>
      </c>
    </row>
    <row r="96" spans="1:12" x14ac:dyDescent="0.25">
      <c r="A96" s="11">
        <v>7</v>
      </c>
      <c r="B96" s="11" t="s">
        <v>24</v>
      </c>
      <c r="C96" s="11">
        <v>1790</v>
      </c>
      <c r="D96" s="11">
        <v>2008</v>
      </c>
      <c r="E96" s="11" t="s">
        <v>15</v>
      </c>
      <c r="F96" s="5">
        <v>5</v>
      </c>
      <c r="G96" s="4" t="s">
        <v>51</v>
      </c>
      <c r="H96" s="4" t="s">
        <v>48</v>
      </c>
      <c r="I96" s="11">
        <v>-0.16239999999999999</v>
      </c>
      <c r="J96" s="4">
        <v>5201</v>
      </c>
      <c r="K96" s="4">
        <v>0.49</v>
      </c>
      <c r="L96" s="11">
        <f>IF(E96="Dinamico",2)</f>
        <v>2</v>
      </c>
    </row>
    <row r="97" spans="1:12" x14ac:dyDescent="0.25">
      <c r="A97" s="11">
        <v>7</v>
      </c>
      <c r="B97" s="11" t="s">
        <v>24</v>
      </c>
      <c r="C97" s="11">
        <v>34480</v>
      </c>
      <c r="D97" s="11">
        <v>2008</v>
      </c>
      <c r="E97" s="11" t="s">
        <v>6</v>
      </c>
      <c r="F97" s="5">
        <v>5</v>
      </c>
      <c r="G97" s="4" t="s">
        <v>51</v>
      </c>
      <c r="H97" s="4" t="s">
        <v>48</v>
      </c>
      <c r="I97" s="11">
        <v>-6.5600000000000006E-2</v>
      </c>
      <c r="J97" s="4">
        <v>5201</v>
      </c>
      <c r="K97" s="4">
        <v>0.48</v>
      </c>
      <c r="L97" s="11">
        <v>1</v>
      </c>
    </row>
    <row r="98" spans="1:12" x14ac:dyDescent="0.25">
      <c r="A98" s="11">
        <v>7</v>
      </c>
      <c r="B98" s="11" t="s">
        <v>24</v>
      </c>
      <c r="C98" s="11">
        <f>8328-2560</f>
        <v>5768</v>
      </c>
      <c r="D98" s="11">
        <v>2009</v>
      </c>
      <c r="E98" s="11" t="s">
        <v>5</v>
      </c>
      <c r="F98" s="5">
        <v>5</v>
      </c>
      <c r="G98" s="4" t="s">
        <v>51</v>
      </c>
      <c r="H98" s="4" t="s">
        <v>48</v>
      </c>
      <c r="I98" s="11">
        <v>7.2099999999999997E-2</v>
      </c>
      <c r="J98" s="4">
        <v>5303</v>
      </c>
      <c r="K98" s="4">
        <v>0.49</v>
      </c>
      <c r="L98" s="11">
        <f t="shared" si="1"/>
        <v>0</v>
      </c>
    </row>
    <row r="99" spans="1:12" x14ac:dyDescent="0.25">
      <c r="A99" s="11">
        <v>7</v>
      </c>
      <c r="B99" s="11" t="s">
        <v>24</v>
      </c>
      <c r="C99" s="11">
        <v>1753</v>
      </c>
      <c r="D99" s="11">
        <v>2009</v>
      </c>
      <c r="E99" s="11" t="s">
        <v>15</v>
      </c>
      <c r="F99" s="5">
        <v>5</v>
      </c>
      <c r="G99" s="4" t="s">
        <v>51</v>
      </c>
      <c r="H99" s="4" t="s">
        <v>48</v>
      </c>
      <c r="I99" s="11">
        <v>0.1588</v>
      </c>
      <c r="J99" s="4">
        <v>5303</v>
      </c>
      <c r="K99" s="4">
        <v>0.49</v>
      </c>
      <c r="L99" s="11">
        <f>IF(E99="Dinamico",2)</f>
        <v>2</v>
      </c>
    </row>
    <row r="100" spans="1:12" x14ac:dyDescent="0.25">
      <c r="A100" s="11">
        <v>7</v>
      </c>
      <c r="B100" s="11" t="s">
        <v>24</v>
      </c>
      <c r="C100" s="11">
        <v>33749</v>
      </c>
      <c r="D100" s="11">
        <v>2009</v>
      </c>
      <c r="E100" s="11" t="s">
        <v>6</v>
      </c>
      <c r="F100" s="5">
        <v>5</v>
      </c>
      <c r="G100" s="4" t="s">
        <v>51</v>
      </c>
      <c r="H100" s="4" t="s">
        <v>48</v>
      </c>
      <c r="I100" s="11">
        <v>0.12470000000000001</v>
      </c>
      <c r="J100" s="4">
        <v>5303</v>
      </c>
      <c r="K100" s="4">
        <v>0.48</v>
      </c>
      <c r="L100" s="11">
        <v>1</v>
      </c>
    </row>
    <row r="101" spans="1:12" x14ac:dyDescent="0.25">
      <c r="A101" s="11">
        <v>7</v>
      </c>
      <c r="B101" s="11" t="s">
        <v>24</v>
      </c>
      <c r="C101" s="11">
        <f>7726-2545</f>
        <v>5181</v>
      </c>
      <c r="D101" s="11">
        <v>2010</v>
      </c>
      <c r="E101" s="11" t="s">
        <v>5</v>
      </c>
      <c r="F101" s="5">
        <v>5</v>
      </c>
      <c r="G101" s="4" t="s">
        <v>51</v>
      </c>
      <c r="H101" s="4" t="s">
        <v>48</v>
      </c>
      <c r="I101" s="11">
        <v>1.55E-2</v>
      </c>
      <c r="J101" s="4">
        <v>5165</v>
      </c>
      <c r="K101" s="4">
        <v>0.49</v>
      </c>
      <c r="L101" s="11">
        <f t="shared" si="1"/>
        <v>0</v>
      </c>
    </row>
    <row r="102" spans="1:12" x14ac:dyDescent="0.25">
      <c r="A102" s="11">
        <v>7</v>
      </c>
      <c r="B102" s="11" t="s">
        <v>24</v>
      </c>
      <c r="C102" s="11">
        <v>1710</v>
      </c>
      <c r="D102" s="11">
        <v>2010</v>
      </c>
      <c r="E102" s="11" t="s">
        <v>15</v>
      </c>
      <c r="F102" s="5">
        <v>5</v>
      </c>
      <c r="G102" s="4" t="s">
        <v>51</v>
      </c>
      <c r="H102" s="4" t="s">
        <v>48</v>
      </c>
      <c r="I102" s="11">
        <v>1.4999999999999999E-2</v>
      </c>
      <c r="J102" s="4">
        <v>5165</v>
      </c>
      <c r="K102" s="4">
        <v>0.49</v>
      </c>
      <c r="L102" s="11">
        <f>IF(E102="Dinamico",2)</f>
        <v>2</v>
      </c>
    </row>
    <row r="103" spans="1:12" x14ac:dyDescent="0.25">
      <c r="A103" s="11">
        <v>7</v>
      </c>
      <c r="B103" s="11" t="s">
        <v>24</v>
      </c>
      <c r="C103" s="11">
        <v>32669</v>
      </c>
      <c r="D103" s="11">
        <v>2010</v>
      </c>
      <c r="E103" s="11" t="s">
        <v>6</v>
      </c>
      <c r="F103" s="5">
        <v>5</v>
      </c>
      <c r="G103" s="4" t="s">
        <v>51</v>
      </c>
      <c r="H103" s="4" t="s">
        <v>48</v>
      </c>
      <c r="I103" s="11">
        <v>2.4899999999999999E-2</v>
      </c>
      <c r="J103" s="4">
        <v>5165</v>
      </c>
      <c r="K103" s="4">
        <v>0.48</v>
      </c>
      <c r="L103" s="11">
        <v>1</v>
      </c>
    </row>
    <row r="104" spans="1:12" x14ac:dyDescent="0.25">
      <c r="A104" s="11">
        <v>7</v>
      </c>
      <c r="B104" s="11" t="s">
        <v>24</v>
      </c>
      <c r="C104" s="11">
        <v>5000</v>
      </c>
      <c r="D104" s="11">
        <v>2011</v>
      </c>
      <c r="E104" s="11" t="s">
        <v>5</v>
      </c>
      <c r="F104" s="5">
        <v>5</v>
      </c>
      <c r="G104" s="4" t="s">
        <v>51</v>
      </c>
      <c r="H104" s="4" t="s">
        <v>48</v>
      </c>
      <c r="I104" s="11">
        <v>2.0999999999999999E-3</v>
      </c>
      <c r="J104" s="4">
        <v>4571</v>
      </c>
      <c r="K104" s="4">
        <v>0.49</v>
      </c>
      <c r="L104" s="11">
        <f t="shared" si="1"/>
        <v>0</v>
      </c>
    </row>
    <row r="105" spans="1:12" x14ac:dyDescent="0.25">
      <c r="A105" s="11">
        <v>7</v>
      </c>
      <c r="B105" s="11" t="s">
        <v>24</v>
      </c>
      <c r="C105" s="11">
        <v>1700</v>
      </c>
      <c r="D105" s="11">
        <v>2011</v>
      </c>
      <c r="E105" s="11" t="s">
        <v>15</v>
      </c>
      <c r="F105" s="5">
        <v>5</v>
      </c>
      <c r="G105" s="4" t="s">
        <v>51</v>
      </c>
      <c r="H105" s="4" t="s">
        <v>48</v>
      </c>
      <c r="I105" s="11">
        <v>-2.8000000000000001E-2</v>
      </c>
      <c r="J105" s="4">
        <v>4571</v>
      </c>
      <c r="K105" s="4">
        <v>0.49</v>
      </c>
      <c r="L105" s="11">
        <f>IF(E105="Dinamico",2)</f>
        <v>2</v>
      </c>
    </row>
    <row r="106" spans="1:12" x14ac:dyDescent="0.25">
      <c r="A106" s="11">
        <v>7</v>
      </c>
      <c r="B106" s="11" t="s">
        <v>24</v>
      </c>
      <c r="C106" s="11">
        <v>32600</v>
      </c>
      <c r="D106" s="11">
        <v>2011</v>
      </c>
      <c r="E106" s="11" t="s">
        <v>6</v>
      </c>
      <c r="F106" s="5">
        <v>5</v>
      </c>
      <c r="G106" s="4" t="s">
        <v>51</v>
      </c>
      <c r="H106" s="4" t="s">
        <v>48</v>
      </c>
      <c r="I106" s="11">
        <v>5.0000000000000001E-3</v>
      </c>
      <c r="J106" s="4">
        <v>4571</v>
      </c>
      <c r="K106" s="4">
        <v>0.48</v>
      </c>
      <c r="L106" s="11">
        <v>1</v>
      </c>
    </row>
    <row r="107" spans="1:12" x14ac:dyDescent="0.25">
      <c r="A107" s="11">
        <v>8</v>
      </c>
      <c r="B107" s="11" t="s">
        <v>20</v>
      </c>
      <c r="C107" s="11">
        <v>0</v>
      </c>
      <c r="D107" s="11">
        <v>2007</v>
      </c>
      <c r="E107" s="11" t="s">
        <v>5</v>
      </c>
      <c r="F107" s="3">
        <v>3</v>
      </c>
      <c r="G107" s="4" t="s">
        <v>53</v>
      </c>
      <c r="H107" s="4" t="s">
        <v>40</v>
      </c>
      <c r="I107" s="11">
        <v>1.6000000000000001E-3</v>
      </c>
      <c r="J107" s="4">
        <v>209</v>
      </c>
      <c r="K107" s="4">
        <v>0.54</v>
      </c>
      <c r="L107" s="11">
        <f t="shared" si="1"/>
        <v>0</v>
      </c>
    </row>
    <row r="108" spans="1:12" x14ac:dyDescent="0.25">
      <c r="A108" s="11">
        <v>8</v>
      </c>
      <c r="B108" s="11" t="s">
        <v>20</v>
      </c>
      <c r="C108" s="11">
        <f>5374</f>
        <v>5374</v>
      </c>
      <c r="D108" s="11">
        <v>2007</v>
      </c>
      <c r="E108" s="11" t="s">
        <v>15</v>
      </c>
      <c r="F108" s="5">
        <v>3</v>
      </c>
      <c r="G108" s="4" t="s">
        <v>53</v>
      </c>
      <c r="H108" s="4" t="s">
        <v>40</v>
      </c>
      <c r="I108" s="11">
        <v>3.1399999999999997E-2</v>
      </c>
      <c r="J108" s="4">
        <v>209</v>
      </c>
      <c r="K108" s="4">
        <v>0.47</v>
      </c>
      <c r="L108" s="11">
        <f>IF(E108="Dinamico",2)</f>
        <v>2</v>
      </c>
    </row>
    <row r="109" spans="1:12" x14ac:dyDescent="0.25">
      <c r="A109" s="11">
        <v>8</v>
      </c>
      <c r="B109" s="11" t="s">
        <v>20</v>
      </c>
      <c r="C109" s="11">
        <v>34022</v>
      </c>
      <c r="D109" s="11">
        <v>2007</v>
      </c>
      <c r="E109" s="11" t="s">
        <v>6</v>
      </c>
      <c r="F109" s="5">
        <v>3</v>
      </c>
      <c r="G109" s="4" t="s">
        <v>53</v>
      </c>
      <c r="H109" s="4" t="s">
        <v>40</v>
      </c>
      <c r="I109" s="11">
        <v>1.9699999999999999E-2</v>
      </c>
      <c r="J109" s="4">
        <v>209</v>
      </c>
      <c r="K109" s="4">
        <v>0.46</v>
      </c>
      <c r="L109" s="11">
        <v>1</v>
      </c>
    </row>
    <row r="110" spans="1:12" x14ac:dyDescent="0.25">
      <c r="A110" s="11">
        <v>8</v>
      </c>
      <c r="B110" s="11" t="s">
        <v>20</v>
      </c>
      <c r="C110" s="11">
        <f>3695-1945</f>
        <v>1750</v>
      </c>
      <c r="D110" s="11">
        <v>2008</v>
      </c>
      <c r="E110" s="11" t="s">
        <v>5</v>
      </c>
      <c r="F110" s="5">
        <v>3</v>
      </c>
      <c r="G110" s="4" t="s">
        <v>53</v>
      </c>
      <c r="H110" s="4" t="s">
        <v>40</v>
      </c>
      <c r="I110" s="11">
        <v>1.01E-2</v>
      </c>
      <c r="J110" s="4">
        <v>221</v>
      </c>
      <c r="K110" s="4">
        <v>0.54</v>
      </c>
      <c r="L110" s="11">
        <f t="shared" si="1"/>
        <v>0</v>
      </c>
    </row>
    <row r="111" spans="1:12" x14ac:dyDescent="0.25">
      <c r="A111" s="11">
        <v>8</v>
      </c>
      <c r="B111" s="11" t="s">
        <v>20</v>
      </c>
      <c r="C111" s="11">
        <v>5712</v>
      </c>
      <c r="D111" s="11">
        <v>2008</v>
      </c>
      <c r="E111" s="11" t="s">
        <v>15</v>
      </c>
      <c r="F111" s="5">
        <v>3</v>
      </c>
      <c r="G111" s="4" t="s">
        <v>53</v>
      </c>
      <c r="H111" s="4" t="s">
        <v>40</v>
      </c>
      <c r="I111" s="11">
        <v>-0.1963</v>
      </c>
      <c r="J111" s="4">
        <v>221</v>
      </c>
      <c r="K111" s="4">
        <v>0.47</v>
      </c>
      <c r="L111" s="11">
        <f>IF(E111="Dinamico",2)</f>
        <v>2</v>
      </c>
    </row>
    <row r="112" spans="1:12" x14ac:dyDescent="0.25">
      <c r="A112" s="11">
        <v>8</v>
      </c>
      <c r="B112" s="11" t="s">
        <v>20</v>
      </c>
      <c r="C112" s="11">
        <v>33266</v>
      </c>
      <c r="D112" s="11">
        <v>2008</v>
      </c>
      <c r="E112" s="11" t="s">
        <v>6</v>
      </c>
      <c r="F112" s="5">
        <v>3</v>
      </c>
      <c r="G112" s="4" t="s">
        <v>53</v>
      </c>
      <c r="H112" s="4" t="s">
        <v>40</v>
      </c>
      <c r="I112" s="11">
        <v>-0.10299999999999999</v>
      </c>
      <c r="J112" s="4">
        <v>221</v>
      </c>
      <c r="K112" s="4">
        <v>0.46</v>
      </c>
      <c r="L112" s="11">
        <v>1</v>
      </c>
    </row>
    <row r="113" spans="1:12" x14ac:dyDescent="0.25">
      <c r="A113" s="11">
        <v>8</v>
      </c>
      <c r="B113" s="11" t="s">
        <v>20</v>
      </c>
      <c r="C113" s="11">
        <f>4198-2379</f>
        <v>1819</v>
      </c>
      <c r="D113" s="11">
        <v>2009</v>
      </c>
      <c r="E113" s="11" t="s">
        <v>5</v>
      </c>
      <c r="F113" s="5">
        <v>3</v>
      </c>
      <c r="G113" s="4" t="s">
        <v>53</v>
      </c>
      <c r="H113" s="4" t="s">
        <v>40</v>
      </c>
      <c r="I113" s="11">
        <v>3.6799999999999999E-2</v>
      </c>
      <c r="J113" s="4">
        <v>213</v>
      </c>
      <c r="K113" s="4">
        <v>0.54</v>
      </c>
      <c r="L113" s="11">
        <f t="shared" si="1"/>
        <v>0</v>
      </c>
    </row>
    <row r="114" spans="1:12" x14ac:dyDescent="0.25">
      <c r="A114" s="11">
        <v>8</v>
      </c>
      <c r="B114" s="11" t="s">
        <v>20</v>
      </c>
      <c r="C114" s="11">
        <v>5756</v>
      </c>
      <c r="D114" s="11">
        <v>2009</v>
      </c>
      <c r="E114" s="11" t="s">
        <v>15</v>
      </c>
      <c r="F114" s="5">
        <v>3</v>
      </c>
      <c r="G114" s="4" t="s">
        <v>53</v>
      </c>
      <c r="H114" s="4" t="s">
        <v>40</v>
      </c>
      <c r="I114" s="11">
        <v>0.14080000000000001</v>
      </c>
      <c r="J114" s="4">
        <v>213</v>
      </c>
      <c r="K114" s="4">
        <v>0.47</v>
      </c>
      <c r="L114" s="11">
        <f>IF(E114="Dinamico",2)</f>
        <v>2</v>
      </c>
    </row>
    <row r="115" spans="1:12" x14ac:dyDescent="0.25">
      <c r="A115" s="11">
        <v>8</v>
      </c>
      <c r="B115" s="11" t="s">
        <v>20</v>
      </c>
      <c r="C115" s="11">
        <v>31767</v>
      </c>
      <c r="D115" s="11">
        <v>2009</v>
      </c>
      <c r="E115" s="11" t="s">
        <v>6</v>
      </c>
      <c r="F115" s="5">
        <v>3</v>
      </c>
      <c r="G115" s="4" t="s">
        <v>53</v>
      </c>
      <c r="H115" s="4" t="s">
        <v>40</v>
      </c>
      <c r="I115" s="11">
        <v>0.1082</v>
      </c>
      <c r="J115" s="4">
        <v>213</v>
      </c>
      <c r="K115" s="4">
        <v>0.46</v>
      </c>
      <c r="L115" s="11">
        <v>1</v>
      </c>
    </row>
    <row r="116" spans="1:12" x14ac:dyDescent="0.25">
      <c r="A116" s="11">
        <v>8</v>
      </c>
      <c r="B116" s="11" t="s">
        <v>20</v>
      </c>
      <c r="C116" s="11">
        <f>4174-2581</f>
        <v>1593</v>
      </c>
      <c r="D116" s="11">
        <v>2010</v>
      </c>
      <c r="E116" s="11" t="s">
        <v>5</v>
      </c>
      <c r="F116" s="5">
        <v>3</v>
      </c>
      <c r="G116" s="4" t="s">
        <v>53</v>
      </c>
      <c r="H116" s="4" t="s">
        <v>40</v>
      </c>
      <c r="I116" s="11">
        <v>1.21E-2</v>
      </c>
      <c r="J116" s="4">
        <v>212</v>
      </c>
      <c r="K116" s="4">
        <v>0.54</v>
      </c>
      <c r="L116" s="11">
        <f t="shared" si="1"/>
        <v>0</v>
      </c>
    </row>
    <row r="117" spans="1:12" x14ac:dyDescent="0.25">
      <c r="A117" s="11">
        <v>8</v>
      </c>
      <c r="B117" s="11" t="s">
        <v>20</v>
      </c>
      <c r="C117" s="11">
        <v>5823</v>
      </c>
      <c r="D117" s="11">
        <v>2010</v>
      </c>
      <c r="E117" s="11" t="s">
        <v>15</v>
      </c>
      <c r="F117" s="5">
        <v>3</v>
      </c>
      <c r="G117" s="4" t="s">
        <v>53</v>
      </c>
      <c r="H117" s="4" t="s">
        <v>40</v>
      </c>
      <c r="I117" s="11">
        <v>4.9599999999999998E-2</v>
      </c>
      <c r="J117" s="4">
        <v>212</v>
      </c>
      <c r="K117" s="4">
        <v>0.47</v>
      </c>
      <c r="L117" s="11">
        <f>IF(E117="Dinamico",2)</f>
        <v>2</v>
      </c>
    </row>
    <row r="118" spans="1:12" x14ac:dyDescent="0.25">
      <c r="A118" s="11">
        <v>8</v>
      </c>
      <c r="B118" s="11" t="s">
        <v>20</v>
      </c>
      <c r="C118" s="11">
        <v>30915</v>
      </c>
      <c r="D118" s="11">
        <v>2010</v>
      </c>
      <c r="E118" s="11" t="s">
        <v>6</v>
      </c>
      <c r="F118" s="5">
        <v>3</v>
      </c>
      <c r="G118" s="4" t="s">
        <v>53</v>
      </c>
      <c r="H118" s="4" t="s">
        <v>40</v>
      </c>
      <c r="I118" s="11">
        <v>4.8300000000000003E-2</v>
      </c>
      <c r="J118" s="4">
        <v>212</v>
      </c>
      <c r="K118" s="4">
        <v>0.46</v>
      </c>
      <c r="L118" s="11">
        <v>1</v>
      </c>
    </row>
    <row r="119" spans="1:12" x14ac:dyDescent="0.25">
      <c r="A119" s="11">
        <v>8</v>
      </c>
      <c r="B119" s="11" t="s">
        <v>20</v>
      </c>
      <c r="C119" s="11">
        <v>2083</v>
      </c>
      <c r="D119" s="11">
        <v>2011</v>
      </c>
      <c r="E119" s="11" t="s">
        <v>5</v>
      </c>
      <c r="F119" s="5">
        <v>3</v>
      </c>
      <c r="G119" s="4" t="s">
        <v>53</v>
      </c>
      <c r="H119" s="4" t="s">
        <v>40</v>
      </c>
      <c r="I119" s="11">
        <v>1.5699999999999999E-2</v>
      </c>
      <c r="J119" s="4">
        <v>215</v>
      </c>
      <c r="K119" s="4">
        <v>0.54</v>
      </c>
      <c r="L119" s="11">
        <f t="shared" si="1"/>
        <v>0</v>
      </c>
    </row>
    <row r="120" spans="1:12" x14ac:dyDescent="0.25">
      <c r="A120" s="11">
        <v>8</v>
      </c>
      <c r="B120" s="11" t="s">
        <v>20</v>
      </c>
      <c r="C120" s="11">
        <v>5793</v>
      </c>
      <c r="D120" s="11">
        <v>2011</v>
      </c>
      <c r="E120" s="11" t="s">
        <v>15</v>
      </c>
      <c r="F120" s="5">
        <v>3</v>
      </c>
      <c r="G120" s="4" t="s">
        <v>53</v>
      </c>
      <c r="H120" s="4" t="s">
        <v>40</v>
      </c>
      <c r="I120" s="11">
        <v>-2.58E-2</v>
      </c>
      <c r="J120" s="4">
        <v>215</v>
      </c>
      <c r="K120" s="4">
        <v>0.47</v>
      </c>
      <c r="L120" s="11">
        <f>IF(E120="Dinamico",2)</f>
        <v>2</v>
      </c>
    </row>
    <row r="121" spans="1:12" x14ac:dyDescent="0.25">
      <c r="A121" s="11">
        <v>8</v>
      </c>
      <c r="B121" s="11" t="s">
        <v>20</v>
      </c>
      <c r="C121" s="11">
        <v>29882</v>
      </c>
      <c r="D121" s="11">
        <v>2011</v>
      </c>
      <c r="E121" s="11" t="s">
        <v>6</v>
      </c>
      <c r="F121" s="5">
        <v>3</v>
      </c>
      <c r="G121" s="4" t="s">
        <v>53</v>
      </c>
      <c r="H121" s="4" t="s">
        <v>40</v>
      </c>
      <c r="I121" s="11">
        <v>-2.9999999999999997E-4</v>
      </c>
      <c r="J121" s="4">
        <v>215</v>
      </c>
      <c r="K121" s="4">
        <v>0.46</v>
      </c>
      <c r="L121" s="11">
        <v>1</v>
      </c>
    </row>
    <row r="122" spans="1:12" x14ac:dyDescent="0.25">
      <c r="A122" s="11">
        <v>9</v>
      </c>
      <c r="B122" s="11" t="s">
        <v>14</v>
      </c>
      <c r="C122" s="11">
        <f>2275+3018+14-1620</f>
        <v>3687</v>
      </c>
      <c r="D122" s="11">
        <v>2007</v>
      </c>
      <c r="E122" s="11" t="s">
        <v>5</v>
      </c>
      <c r="F122" s="5">
        <v>3</v>
      </c>
      <c r="G122" s="4" t="s">
        <v>57</v>
      </c>
      <c r="H122" s="4" t="s">
        <v>40</v>
      </c>
      <c r="I122" s="11">
        <v>1.2800000000000001E-2</v>
      </c>
      <c r="J122" s="4">
        <v>1441</v>
      </c>
      <c r="K122" s="4">
        <v>0.59</v>
      </c>
      <c r="L122" s="11">
        <f t="shared" si="1"/>
        <v>0</v>
      </c>
    </row>
    <row r="123" spans="1:12" x14ac:dyDescent="0.25">
      <c r="A123" s="11">
        <v>9</v>
      </c>
      <c r="B123" s="11" t="s">
        <v>14</v>
      </c>
      <c r="C123" s="11">
        <f>106+879+1506+6</f>
        <v>2497</v>
      </c>
      <c r="D123" s="11">
        <v>2007</v>
      </c>
      <c r="E123" s="11" t="s">
        <v>15</v>
      </c>
      <c r="F123" s="5">
        <v>3</v>
      </c>
      <c r="G123" s="4" t="s">
        <v>57</v>
      </c>
      <c r="H123" s="4" t="s">
        <v>40</v>
      </c>
      <c r="I123" s="11">
        <v>3.3999999999999998E-3</v>
      </c>
      <c r="J123" s="4">
        <v>1441</v>
      </c>
      <c r="K123" s="4">
        <v>0.5</v>
      </c>
      <c r="L123" s="11">
        <f>IF(E123="Dinamico",2)</f>
        <v>2</v>
      </c>
    </row>
    <row r="124" spans="1:12" x14ac:dyDescent="0.25">
      <c r="A124" s="11">
        <v>9</v>
      </c>
      <c r="B124" s="11" t="s">
        <v>14</v>
      </c>
      <c r="C124" s="11">
        <f>2913+20742+28034+164+73</f>
        <v>51926</v>
      </c>
      <c r="D124" s="11">
        <v>2007</v>
      </c>
      <c r="E124" s="11" t="s">
        <v>6</v>
      </c>
      <c r="F124" s="3">
        <v>3</v>
      </c>
      <c r="G124" s="4" t="s">
        <v>57</v>
      </c>
      <c r="H124" s="4" t="s">
        <v>40</v>
      </c>
      <c r="I124" s="11">
        <v>1.37E-2</v>
      </c>
      <c r="J124" s="4">
        <v>1441</v>
      </c>
      <c r="K124" s="4">
        <v>0.47</v>
      </c>
      <c r="L124" s="11">
        <v>1</v>
      </c>
    </row>
    <row r="125" spans="1:12" x14ac:dyDescent="0.25">
      <c r="A125" s="11">
        <v>9</v>
      </c>
      <c r="B125" s="11" t="s">
        <v>14</v>
      </c>
      <c r="C125" s="11">
        <f>393+2455+25-1600</f>
        <v>1273</v>
      </c>
      <c r="D125" s="11">
        <v>2008</v>
      </c>
      <c r="E125" s="11" t="s">
        <v>5</v>
      </c>
      <c r="F125" s="5">
        <v>3</v>
      </c>
      <c r="G125" s="4" t="s">
        <v>57</v>
      </c>
      <c r="H125" s="4" t="s">
        <v>40</v>
      </c>
      <c r="I125" s="11">
        <v>1.7299999999999999E-2</v>
      </c>
      <c r="J125" s="4">
        <v>1578</v>
      </c>
      <c r="K125" s="4">
        <v>0.59</v>
      </c>
      <c r="L125" s="11">
        <f t="shared" si="1"/>
        <v>0</v>
      </c>
    </row>
    <row r="126" spans="1:12" x14ac:dyDescent="0.25">
      <c r="A126" s="11">
        <v>9</v>
      </c>
      <c r="B126" s="11" t="s">
        <v>14</v>
      </c>
      <c r="C126" s="11">
        <f>1127+1650+7</f>
        <v>2784</v>
      </c>
      <c r="D126" s="11">
        <v>2008</v>
      </c>
      <c r="E126" s="11" t="s">
        <v>15</v>
      </c>
      <c r="F126" s="5">
        <v>3</v>
      </c>
      <c r="G126" s="4" t="s">
        <v>57</v>
      </c>
      <c r="H126" s="4" t="s">
        <v>40</v>
      </c>
      <c r="I126" s="11">
        <v>-0.21890000000000001</v>
      </c>
      <c r="J126" s="4">
        <v>1578</v>
      </c>
      <c r="K126" s="4">
        <v>0.5</v>
      </c>
      <c r="L126" s="11">
        <f>IF(E126="Dinamico",2)</f>
        <v>2</v>
      </c>
    </row>
    <row r="127" spans="1:12" x14ac:dyDescent="0.25">
      <c r="A127" s="11">
        <v>9</v>
      </c>
      <c r="B127" s="11" t="s">
        <v>14</v>
      </c>
      <c r="C127" s="11">
        <f>2926+19587+26407+163+75</f>
        <v>49158</v>
      </c>
      <c r="D127" s="11">
        <v>2008</v>
      </c>
      <c r="E127" s="11" t="s">
        <v>6</v>
      </c>
      <c r="F127" s="5">
        <v>3</v>
      </c>
      <c r="G127" s="4" t="s">
        <v>57</v>
      </c>
      <c r="H127" s="4" t="s">
        <v>40</v>
      </c>
      <c r="I127" s="11">
        <v>-8.5800000000000001E-2</v>
      </c>
      <c r="J127" s="4">
        <v>1578</v>
      </c>
      <c r="K127" s="4">
        <v>0.47</v>
      </c>
      <c r="L127" s="11">
        <v>1</v>
      </c>
    </row>
    <row r="128" spans="1:12" x14ac:dyDescent="0.25">
      <c r="A128" s="11">
        <v>9</v>
      </c>
      <c r="B128" s="11" t="s">
        <v>14</v>
      </c>
      <c r="C128" s="13">
        <f>396+2587+3964+60-1500</f>
        <v>5507</v>
      </c>
      <c r="D128" s="11">
        <v>2009</v>
      </c>
      <c r="E128" s="11" t="s">
        <v>5</v>
      </c>
      <c r="F128" s="5">
        <v>3</v>
      </c>
      <c r="G128" s="4" t="s">
        <v>57</v>
      </c>
      <c r="H128" s="4" t="s">
        <v>40</v>
      </c>
      <c r="I128" s="11">
        <v>4.3299999999999998E-2</v>
      </c>
      <c r="J128" s="4">
        <v>1599</v>
      </c>
      <c r="K128" s="4">
        <v>0.59</v>
      </c>
      <c r="L128" s="11">
        <f t="shared" si="1"/>
        <v>0</v>
      </c>
    </row>
    <row r="129" spans="1:12" x14ac:dyDescent="0.25">
      <c r="A129" s="11">
        <v>9</v>
      </c>
      <c r="B129" s="11" t="s">
        <v>14</v>
      </c>
      <c r="C129" s="11">
        <f>118+981+1646+9+6</f>
        <v>2760</v>
      </c>
      <c r="D129" s="11">
        <v>2009</v>
      </c>
      <c r="E129" s="11" t="s">
        <v>15</v>
      </c>
      <c r="F129" s="5">
        <v>3</v>
      </c>
      <c r="G129" s="4" t="s">
        <v>57</v>
      </c>
      <c r="H129" s="4" t="s">
        <v>40</v>
      </c>
      <c r="I129" s="11">
        <v>0.15340000000000001</v>
      </c>
      <c r="J129" s="4">
        <v>1599</v>
      </c>
      <c r="K129" s="4">
        <v>0.5</v>
      </c>
      <c r="L129" s="11">
        <f>IF(E129="Dinamico",2)</f>
        <v>2</v>
      </c>
    </row>
    <row r="130" spans="1:12" x14ac:dyDescent="0.25">
      <c r="A130" s="11">
        <v>9</v>
      </c>
      <c r="B130" s="11" t="s">
        <v>14</v>
      </c>
      <c r="C130" s="11">
        <f>2740+18322+25387+198+113</f>
        <v>46760</v>
      </c>
      <c r="D130" s="11">
        <v>2009</v>
      </c>
      <c r="E130" s="11" t="s">
        <v>6</v>
      </c>
      <c r="F130" s="5">
        <v>3</v>
      </c>
      <c r="G130" s="4" t="s">
        <v>57</v>
      </c>
      <c r="H130" s="4" t="s">
        <v>40</v>
      </c>
      <c r="I130" s="11">
        <v>9.4200000000000006E-2</v>
      </c>
      <c r="J130" s="4">
        <v>1599</v>
      </c>
      <c r="K130" s="4">
        <v>0.47</v>
      </c>
      <c r="L130" s="11">
        <v>1</v>
      </c>
    </row>
    <row r="131" spans="1:12" x14ac:dyDescent="0.25">
      <c r="A131" s="11">
        <v>9</v>
      </c>
      <c r="B131" s="11" t="s">
        <v>14</v>
      </c>
      <c r="C131" s="11">
        <f>396+2563+3889+33+29-1433</f>
        <v>5477</v>
      </c>
      <c r="D131" s="11">
        <v>2010</v>
      </c>
      <c r="E131" s="11" t="s">
        <v>5</v>
      </c>
      <c r="F131" s="5">
        <v>3</v>
      </c>
      <c r="G131" s="4" t="s">
        <v>57</v>
      </c>
      <c r="H131" s="4" t="s">
        <v>40</v>
      </c>
      <c r="I131" s="11">
        <v>1.3899999999999999E-2</v>
      </c>
      <c r="J131" s="4">
        <v>1618</v>
      </c>
      <c r="K131" s="4">
        <v>0.59</v>
      </c>
      <c r="L131" s="11">
        <f t="shared" ref="L131:L194" si="2">IF(E131="Garantito",0)</f>
        <v>0</v>
      </c>
    </row>
    <row r="132" spans="1:12" x14ac:dyDescent="0.25">
      <c r="A132" s="11">
        <v>9</v>
      </c>
      <c r="B132" s="11" t="s">
        <v>14</v>
      </c>
      <c r="C132" s="11">
        <f>130+954+1650+7</f>
        <v>2741</v>
      </c>
      <c r="D132" s="11">
        <v>2010</v>
      </c>
      <c r="E132" s="11" t="s">
        <v>15</v>
      </c>
      <c r="F132" s="5">
        <v>3</v>
      </c>
      <c r="G132" s="4" t="s">
        <v>57</v>
      </c>
      <c r="H132" s="4" t="s">
        <v>40</v>
      </c>
      <c r="I132" s="11">
        <v>8.7400000000000005E-2</v>
      </c>
      <c r="J132" s="4">
        <v>1618</v>
      </c>
      <c r="K132" s="4">
        <v>0.5</v>
      </c>
      <c r="L132" s="11">
        <f t="shared" ref="L132" si="3">IF(E132="Dinamico",2)</f>
        <v>2</v>
      </c>
    </row>
    <row r="133" spans="1:12" x14ac:dyDescent="0.25">
      <c r="A133" s="11">
        <v>9</v>
      </c>
      <c r="B133" s="11" t="s">
        <v>14</v>
      </c>
      <c r="C133" s="11">
        <f>2910+16725+24686+192+108</f>
        <v>44621</v>
      </c>
      <c r="D133" s="11">
        <v>2010</v>
      </c>
      <c r="E133" s="11" t="s">
        <v>6</v>
      </c>
      <c r="F133" s="5">
        <v>3</v>
      </c>
      <c r="G133" s="4" t="s">
        <v>57</v>
      </c>
      <c r="H133" s="4" t="s">
        <v>40</v>
      </c>
      <c r="I133" s="11">
        <v>5.5100000000000003E-2</v>
      </c>
      <c r="J133" s="4">
        <v>1618</v>
      </c>
      <c r="K133" s="4">
        <v>0.47</v>
      </c>
      <c r="L133" s="11">
        <v>1</v>
      </c>
    </row>
    <row r="134" spans="1:12" x14ac:dyDescent="0.25">
      <c r="A134" s="11">
        <v>9</v>
      </c>
      <c r="B134" s="11" t="s">
        <v>14</v>
      </c>
      <c r="C134" s="11">
        <v>3585</v>
      </c>
      <c r="D134" s="11">
        <v>2011</v>
      </c>
      <c r="E134" s="11" t="s">
        <v>5</v>
      </c>
      <c r="F134" s="5">
        <v>3</v>
      </c>
      <c r="G134" s="4" t="s">
        <v>57</v>
      </c>
      <c r="H134" s="4" t="s">
        <v>40</v>
      </c>
      <c r="I134" s="11">
        <v>1.4500000000000001E-2</v>
      </c>
      <c r="J134" s="4">
        <v>1527</v>
      </c>
      <c r="K134" s="4">
        <v>0.59</v>
      </c>
      <c r="L134" s="11">
        <f t="shared" si="2"/>
        <v>0</v>
      </c>
    </row>
    <row r="135" spans="1:12" x14ac:dyDescent="0.25">
      <c r="A135" s="11">
        <v>9</v>
      </c>
      <c r="B135" s="11" t="s">
        <v>14</v>
      </c>
      <c r="C135" s="11">
        <v>2509</v>
      </c>
      <c r="D135" s="11">
        <v>2011</v>
      </c>
      <c r="E135" s="11" t="s">
        <v>15</v>
      </c>
      <c r="F135" s="5">
        <v>3</v>
      </c>
      <c r="G135" s="4" t="s">
        <v>57</v>
      </c>
      <c r="H135" s="4" t="s">
        <v>40</v>
      </c>
      <c r="I135" s="11">
        <v>-3.8E-3</v>
      </c>
      <c r="J135" s="4">
        <v>1527</v>
      </c>
      <c r="K135" s="4">
        <v>0.5</v>
      </c>
      <c r="L135" s="11">
        <f>IF(E135="Dinamico",2)</f>
        <v>2</v>
      </c>
    </row>
    <row r="136" spans="1:12" x14ac:dyDescent="0.25">
      <c r="A136" s="11">
        <v>9</v>
      </c>
      <c r="B136" s="11" t="s">
        <v>14</v>
      </c>
      <c r="C136" s="11">
        <v>41702</v>
      </c>
      <c r="D136" s="11">
        <v>2011</v>
      </c>
      <c r="E136" s="11" t="s">
        <v>6</v>
      </c>
      <c r="F136" s="5">
        <v>3</v>
      </c>
      <c r="G136" s="4" t="s">
        <v>57</v>
      </c>
      <c r="H136" s="4" t="s">
        <v>40</v>
      </c>
      <c r="I136" s="11">
        <v>-7.1000000000000004E-3</v>
      </c>
      <c r="J136" s="4">
        <v>1527</v>
      </c>
      <c r="K136" s="4">
        <v>0.47</v>
      </c>
      <c r="L136" s="11">
        <v>1</v>
      </c>
    </row>
    <row r="137" spans="1:12" x14ac:dyDescent="0.25">
      <c r="A137" s="11">
        <v>10</v>
      </c>
      <c r="B137" s="11" t="s">
        <v>18</v>
      </c>
      <c r="C137" s="11">
        <f>8503-1000</f>
        <v>7503</v>
      </c>
      <c r="D137" s="11">
        <v>2007</v>
      </c>
      <c r="E137" s="11" t="s">
        <v>5</v>
      </c>
      <c r="F137" s="3">
        <v>3</v>
      </c>
      <c r="G137" s="4" t="s">
        <v>62</v>
      </c>
      <c r="H137" s="4" t="s">
        <v>55</v>
      </c>
      <c r="I137" s="11">
        <v>2.7300000000000001E-2</v>
      </c>
      <c r="J137" s="4">
        <v>445</v>
      </c>
      <c r="K137" s="4">
        <v>0.59</v>
      </c>
      <c r="L137" s="11">
        <f t="shared" si="2"/>
        <v>0</v>
      </c>
    </row>
    <row r="138" spans="1:12" x14ac:dyDescent="0.25">
      <c r="A138" s="11">
        <v>10</v>
      </c>
      <c r="B138" s="11" t="s">
        <v>18</v>
      </c>
      <c r="C138" s="11">
        <v>2603</v>
      </c>
      <c r="D138" s="11">
        <v>2007</v>
      </c>
      <c r="E138" s="11" t="s">
        <v>15</v>
      </c>
      <c r="F138" s="5">
        <v>3</v>
      </c>
      <c r="G138" s="4" t="s">
        <v>62</v>
      </c>
      <c r="H138" s="4" t="s">
        <v>55</v>
      </c>
      <c r="I138" s="11">
        <v>7.7000000000000002E-3</v>
      </c>
      <c r="J138" s="4">
        <v>445</v>
      </c>
      <c r="K138" s="4">
        <v>0.5</v>
      </c>
      <c r="L138" s="11">
        <f>IF(E138="Dinamico",2)</f>
        <v>2</v>
      </c>
    </row>
    <row r="139" spans="1:12" x14ac:dyDescent="0.25">
      <c r="A139" s="11">
        <v>10</v>
      </c>
      <c r="B139" s="11" t="s">
        <v>18</v>
      </c>
      <c r="C139" s="11">
        <v>24373</v>
      </c>
      <c r="D139" s="11">
        <v>2007</v>
      </c>
      <c r="E139" s="11" t="s">
        <v>6</v>
      </c>
      <c r="F139" s="5">
        <v>3</v>
      </c>
      <c r="G139" s="4" t="s">
        <v>62</v>
      </c>
      <c r="H139" s="4" t="s">
        <v>55</v>
      </c>
      <c r="I139" s="11">
        <v>1.3100000000000001E-2</v>
      </c>
      <c r="J139" s="4">
        <v>445</v>
      </c>
      <c r="K139" s="4">
        <v>0.47</v>
      </c>
      <c r="L139" s="11">
        <v>1</v>
      </c>
    </row>
    <row r="140" spans="1:12" x14ac:dyDescent="0.25">
      <c r="A140" s="11">
        <v>10</v>
      </c>
      <c r="B140" s="11" t="s">
        <v>18</v>
      </c>
      <c r="C140" s="11">
        <f>9402-1450</f>
        <v>7952</v>
      </c>
      <c r="D140" s="11">
        <v>2008</v>
      </c>
      <c r="E140" s="11" t="s">
        <v>5</v>
      </c>
      <c r="F140" s="5">
        <v>3</v>
      </c>
      <c r="G140" s="4" t="s">
        <v>62</v>
      </c>
      <c r="H140" s="4" t="s">
        <v>55</v>
      </c>
      <c r="I140" s="11">
        <v>3.2000000000000001E-2</v>
      </c>
      <c r="J140" s="4">
        <v>460</v>
      </c>
      <c r="K140" s="4">
        <v>0.59</v>
      </c>
      <c r="L140" s="11">
        <f t="shared" si="2"/>
        <v>0</v>
      </c>
    </row>
    <row r="141" spans="1:12" x14ac:dyDescent="0.25">
      <c r="A141" s="11">
        <v>10</v>
      </c>
      <c r="B141" s="11" t="s">
        <v>18</v>
      </c>
      <c r="C141" s="11">
        <v>2693</v>
      </c>
      <c r="D141" s="11">
        <v>2008</v>
      </c>
      <c r="E141" s="11" t="s">
        <v>15</v>
      </c>
      <c r="F141" s="5">
        <v>3</v>
      </c>
      <c r="G141" s="4" t="s">
        <v>62</v>
      </c>
      <c r="H141" s="4" t="s">
        <v>55</v>
      </c>
      <c r="I141" s="11">
        <v>-0.17330000000000001</v>
      </c>
      <c r="J141" s="4">
        <v>460</v>
      </c>
      <c r="K141" s="4">
        <v>0.5</v>
      </c>
      <c r="L141" s="11">
        <f>IF(E141="Dinamico",2)</f>
        <v>2</v>
      </c>
    </row>
    <row r="142" spans="1:12" x14ac:dyDescent="0.25">
      <c r="A142" s="11">
        <v>10</v>
      </c>
      <c r="B142" s="11" t="s">
        <v>18</v>
      </c>
      <c r="C142" s="11">
        <v>24393</v>
      </c>
      <c r="D142" s="11">
        <v>2008</v>
      </c>
      <c r="E142" s="11" t="s">
        <v>6</v>
      </c>
      <c r="F142" s="5">
        <v>3</v>
      </c>
      <c r="G142" s="4" t="s">
        <v>62</v>
      </c>
      <c r="H142" s="4" t="s">
        <v>55</v>
      </c>
      <c r="I142" s="11">
        <v>-5.8099999999999999E-2</v>
      </c>
      <c r="J142" s="4">
        <v>460</v>
      </c>
      <c r="K142" s="4">
        <v>0.47</v>
      </c>
      <c r="L142" s="11">
        <v>1</v>
      </c>
    </row>
    <row r="143" spans="1:12" x14ac:dyDescent="0.25">
      <c r="A143" s="11">
        <v>10</v>
      </c>
      <c r="B143" s="11" t="s">
        <v>18</v>
      </c>
      <c r="C143" s="11">
        <f>9866-1423</f>
        <v>8443</v>
      </c>
      <c r="D143" s="11">
        <v>2009</v>
      </c>
      <c r="E143" s="11" t="s">
        <v>5</v>
      </c>
      <c r="F143" s="5">
        <v>3</v>
      </c>
      <c r="G143" s="4" t="s">
        <v>62</v>
      </c>
      <c r="H143" s="4" t="s">
        <v>55</v>
      </c>
      <c r="I143" s="11">
        <v>6.9599999999999995E-2</v>
      </c>
      <c r="J143" s="4">
        <v>471</v>
      </c>
      <c r="K143" s="4">
        <v>0.59</v>
      </c>
      <c r="L143" s="11">
        <f t="shared" si="2"/>
        <v>0</v>
      </c>
    </row>
    <row r="144" spans="1:12" x14ac:dyDescent="0.25">
      <c r="A144" s="11">
        <v>10</v>
      </c>
      <c r="B144" s="11" t="s">
        <v>18</v>
      </c>
      <c r="C144" s="11">
        <v>2651</v>
      </c>
      <c r="D144" s="11">
        <v>2009</v>
      </c>
      <c r="E144" s="11" t="s">
        <v>15</v>
      </c>
      <c r="F144" s="5">
        <v>3</v>
      </c>
      <c r="G144" s="4" t="s">
        <v>62</v>
      </c>
      <c r="H144" s="4" t="s">
        <v>55</v>
      </c>
      <c r="I144" s="11">
        <v>0.1255</v>
      </c>
      <c r="J144" s="4">
        <v>471</v>
      </c>
      <c r="K144" s="4">
        <v>0.5</v>
      </c>
      <c r="L144" s="11">
        <f>IF(E144="Dinamico",2)</f>
        <v>2</v>
      </c>
    </row>
    <row r="145" spans="1:14" x14ac:dyDescent="0.25">
      <c r="A145" s="11">
        <v>10</v>
      </c>
      <c r="B145" s="11" t="s">
        <v>18</v>
      </c>
      <c r="C145" s="11">
        <v>23739</v>
      </c>
      <c r="D145" s="11">
        <v>2009</v>
      </c>
      <c r="E145" s="11" t="s">
        <v>6</v>
      </c>
      <c r="F145" s="5">
        <v>3</v>
      </c>
      <c r="G145" s="4" t="s">
        <v>62</v>
      </c>
      <c r="H145" s="4" t="s">
        <v>55</v>
      </c>
      <c r="I145" s="11">
        <v>9.1600000000000001E-2</v>
      </c>
      <c r="J145" s="4">
        <v>471</v>
      </c>
      <c r="K145" s="4">
        <v>0.47</v>
      </c>
      <c r="L145" s="11">
        <v>1</v>
      </c>
    </row>
    <row r="146" spans="1:14" x14ac:dyDescent="0.25">
      <c r="A146" s="11">
        <v>10</v>
      </c>
      <c r="B146" s="11" t="s">
        <v>18</v>
      </c>
      <c r="C146" s="11">
        <f>10090-1560</f>
        <v>8530</v>
      </c>
      <c r="D146" s="11">
        <v>2010</v>
      </c>
      <c r="E146" s="11" t="s">
        <v>5</v>
      </c>
      <c r="F146" s="5">
        <v>3</v>
      </c>
      <c r="G146" s="4" t="s">
        <v>62</v>
      </c>
      <c r="H146" s="4" t="s">
        <v>55</v>
      </c>
      <c r="I146" s="11">
        <v>1.2800000000000001E-2</v>
      </c>
      <c r="J146" s="4">
        <v>488</v>
      </c>
      <c r="K146" s="4">
        <v>0.59</v>
      </c>
      <c r="L146" s="11">
        <f t="shared" si="2"/>
        <v>0</v>
      </c>
    </row>
    <row r="147" spans="1:14" x14ac:dyDescent="0.25">
      <c r="A147" s="11">
        <v>10</v>
      </c>
      <c r="B147" s="11" t="s">
        <v>18</v>
      </c>
      <c r="C147" s="11">
        <v>2633</v>
      </c>
      <c r="D147" s="11">
        <v>2010</v>
      </c>
      <c r="E147" s="11" t="s">
        <v>15</v>
      </c>
      <c r="F147" s="5">
        <v>3</v>
      </c>
      <c r="G147" s="4" t="s">
        <v>62</v>
      </c>
      <c r="H147" s="4" t="s">
        <v>55</v>
      </c>
      <c r="I147" s="11">
        <v>3.5700000000000003E-2</v>
      </c>
      <c r="J147" s="4">
        <v>488</v>
      </c>
      <c r="K147" s="4">
        <v>0.5</v>
      </c>
      <c r="L147" s="11">
        <f>IF(E147="Dinamico",2)</f>
        <v>2</v>
      </c>
    </row>
    <row r="148" spans="1:14" x14ac:dyDescent="0.25">
      <c r="A148" s="11">
        <v>10</v>
      </c>
      <c r="B148" s="11" t="s">
        <v>18</v>
      </c>
      <c r="C148" s="11">
        <v>23426</v>
      </c>
      <c r="D148" s="11">
        <v>2010</v>
      </c>
      <c r="E148" s="11" t="s">
        <v>6</v>
      </c>
      <c r="F148" s="5">
        <v>3</v>
      </c>
      <c r="G148" s="4" t="s">
        <v>62</v>
      </c>
      <c r="H148" s="4" t="s">
        <v>55</v>
      </c>
      <c r="I148" s="11">
        <v>3.8899999999999997E-2</v>
      </c>
      <c r="J148" s="4">
        <v>488</v>
      </c>
      <c r="K148" s="4">
        <v>0.47</v>
      </c>
      <c r="L148" s="11">
        <v>1</v>
      </c>
    </row>
    <row r="149" spans="1:14" x14ac:dyDescent="0.25">
      <c r="A149" s="11">
        <v>10</v>
      </c>
      <c r="B149" s="11" t="s">
        <v>18</v>
      </c>
      <c r="C149" s="11">
        <v>8473</v>
      </c>
      <c r="D149" s="11">
        <v>2011</v>
      </c>
      <c r="E149" s="11" t="s">
        <v>5</v>
      </c>
      <c r="F149" s="5">
        <v>3</v>
      </c>
      <c r="G149" s="4" t="s">
        <v>62</v>
      </c>
      <c r="H149" s="4" t="s">
        <v>55</v>
      </c>
      <c r="I149" s="11">
        <v>1.2999999999999999E-3</v>
      </c>
      <c r="J149" s="4">
        <v>487</v>
      </c>
      <c r="K149" s="4">
        <v>0.59</v>
      </c>
      <c r="L149" s="11">
        <f t="shared" si="2"/>
        <v>0</v>
      </c>
    </row>
    <row r="150" spans="1:14" x14ac:dyDescent="0.25">
      <c r="A150" s="11">
        <v>10</v>
      </c>
      <c r="B150" s="11" t="s">
        <v>18</v>
      </c>
      <c r="C150" s="11">
        <v>2616</v>
      </c>
      <c r="D150" s="11">
        <v>2011</v>
      </c>
      <c r="E150" s="11" t="s">
        <v>15</v>
      </c>
      <c r="F150" s="5">
        <v>3</v>
      </c>
      <c r="G150" s="4" t="s">
        <v>62</v>
      </c>
      <c r="H150" s="4" t="s">
        <v>55</v>
      </c>
      <c r="I150" s="11">
        <v>-3.1699999999999999E-2</v>
      </c>
      <c r="J150" s="4">
        <v>487</v>
      </c>
      <c r="K150" s="4">
        <v>0.5</v>
      </c>
      <c r="L150" s="11">
        <f t="shared" ref="L150" si="4">IF(E150="Dinamico",2)</f>
        <v>2</v>
      </c>
    </row>
    <row r="151" spans="1:14" x14ac:dyDescent="0.25">
      <c r="A151" s="11">
        <v>10</v>
      </c>
      <c r="B151" s="11" t="s">
        <v>18</v>
      </c>
      <c r="C151" s="11">
        <v>23048</v>
      </c>
      <c r="D151" s="11">
        <v>2011</v>
      </c>
      <c r="E151" s="11" t="s">
        <v>6</v>
      </c>
      <c r="F151" s="5">
        <v>3</v>
      </c>
      <c r="G151" s="4" t="s">
        <v>62</v>
      </c>
      <c r="H151" s="4" t="s">
        <v>55</v>
      </c>
      <c r="I151" s="11">
        <v>1.2999999999999999E-3</v>
      </c>
      <c r="J151" s="4">
        <v>487</v>
      </c>
      <c r="K151" s="4">
        <v>0.47</v>
      </c>
      <c r="L151" s="11">
        <v>1</v>
      </c>
    </row>
    <row r="152" spans="1:14" x14ac:dyDescent="0.25">
      <c r="A152" s="11">
        <v>11</v>
      </c>
      <c r="B152" s="11" t="s">
        <v>25</v>
      </c>
      <c r="C152" s="11">
        <f>14890-4467</f>
        <v>10423</v>
      </c>
      <c r="D152" s="11">
        <v>2007</v>
      </c>
      <c r="E152" s="11" t="s">
        <v>5</v>
      </c>
      <c r="F152" s="5">
        <v>6</v>
      </c>
      <c r="G152" s="4" t="s">
        <v>65</v>
      </c>
      <c r="H152" s="4" t="s">
        <v>42</v>
      </c>
      <c r="I152" s="11">
        <v>1.9699999999999999E-2</v>
      </c>
      <c r="J152" s="4">
        <v>535</v>
      </c>
      <c r="K152" s="4">
        <v>0.59</v>
      </c>
      <c r="L152" s="11">
        <f t="shared" si="2"/>
        <v>0</v>
      </c>
    </row>
    <row r="153" spans="1:14" x14ac:dyDescent="0.25">
      <c r="A153" s="11">
        <v>11</v>
      </c>
      <c r="B153" s="11" t="s">
        <v>25</v>
      </c>
      <c r="C153" s="11">
        <v>51050</v>
      </c>
      <c r="D153" s="11">
        <v>2007</v>
      </c>
      <c r="E153" s="11" t="s">
        <v>15</v>
      </c>
      <c r="F153" s="5">
        <v>6</v>
      </c>
      <c r="G153" s="4" t="s">
        <v>65</v>
      </c>
      <c r="H153" s="4" t="s">
        <v>42</v>
      </c>
      <c r="I153" s="11">
        <v>2.7099999999999999E-2</v>
      </c>
      <c r="J153" s="4">
        <v>535</v>
      </c>
      <c r="K153" s="4">
        <v>0.5</v>
      </c>
      <c r="L153" s="11">
        <f>IF(E153="Dinamico",2)</f>
        <v>2</v>
      </c>
    </row>
    <row r="154" spans="1:14" x14ac:dyDescent="0.25">
      <c r="A154" s="11">
        <v>11</v>
      </c>
      <c r="B154" s="11" t="s">
        <v>25</v>
      </c>
      <c r="C154" s="11">
        <v>0</v>
      </c>
      <c r="D154" s="11">
        <v>2007</v>
      </c>
      <c r="E154" s="11" t="s">
        <v>6</v>
      </c>
      <c r="F154" s="3">
        <v>3</v>
      </c>
      <c r="G154" s="4" t="s">
        <v>65</v>
      </c>
      <c r="H154" s="4" t="s">
        <v>55</v>
      </c>
      <c r="J154" s="4">
        <v>535</v>
      </c>
      <c r="K154" s="4">
        <v>0.47</v>
      </c>
      <c r="L154" s="11">
        <v>1</v>
      </c>
    </row>
    <row r="155" spans="1:14" x14ac:dyDescent="0.25">
      <c r="A155" s="11">
        <v>11</v>
      </c>
      <c r="B155" s="11" t="s">
        <v>25</v>
      </c>
      <c r="C155" s="11">
        <f>17864-4882</f>
        <v>12982</v>
      </c>
      <c r="D155" s="11">
        <v>2008</v>
      </c>
      <c r="E155" s="11" t="s">
        <v>5</v>
      </c>
      <c r="F155" s="5">
        <v>6</v>
      </c>
      <c r="G155" s="4" t="s">
        <v>65</v>
      </c>
      <c r="H155" s="4" t="s">
        <v>42</v>
      </c>
      <c r="I155" s="11">
        <v>1.5800000000000002E-2</v>
      </c>
      <c r="J155" s="4">
        <v>581</v>
      </c>
      <c r="K155" s="4">
        <v>0.59</v>
      </c>
      <c r="L155" s="11">
        <f t="shared" si="2"/>
        <v>0</v>
      </c>
    </row>
    <row r="156" spans="1:14" x14ac:dyDescent="0.25">
      <c r="A156" s="11">
        <v>11</v>
      </c>
      <c r="B156" s="11" t="s">
        <v>25</v>
      </c>
      <c r="C156" s="11">
        <v>52625</v>
      </c>
      <c r="D156" s="11">
        <v>2008</v>
      </c>
      <c r="E156" s="11" t="s">
        <v>15</v>
      </c>
      <c r="F156" s="5">
        <v>6</v>
      </c>
      <c r="G156" s="4" t="s">
        <v>65</v>
      </c>
      <c r="H156" s="4" t="s">
        <v>42</v>
      </c>
      <c r="I156" s="11">
        <v>-0.1076</v>
      </c>
      <c r="J156" s="4">
        <v>581</v>
      </c>
      <c r="K156" s="4">
        <v>0.5</v>
      </c>
      <c r="L156" s="11">
        <f>IF(E156="Dinamico",2)</f>
        <v>2</v>
      </c>
      <c r="N156">
        <f>C152^2</f>
        <v>108638929</v>
      </c>
    </row>
    <row r="157" spans="1:14" x14ac:dyDescent="0.25">
      <c r="A157" s="11">
        <v>11</v>
      </c>
      <c r="B157" s="11" t="s">
        <v>25</v>
      </c>
      <c r="C157" s="11">
        <v>0</v>
      </c>
      <c r="D157" s="11">
        <v>2008</v>
      </c>
      <c r="E157" s="11" t="s">
        <v>6</v>
      </c>
      <c r="F157" s="5">
        <v>6</v>
      </c>
      <c r="G157" s="4" t="s">
        <v>65</v>
      </c>
      <c r="H157" s="4" t="s">
        <v>42</v>
      </c>
      <c r="J157" s="4">
        <v>581</v>
      </c>
      <c r="K157" s="4">
        <v>0.47</v>
      </c>
      <c r="L157" s="11">
        <v>1</v>
      </c>
      <c r="N157">
        <f>C153^2</f>
        <v>2606102500</v>
      </c>
    </row>
    <row r="158" spans="1:14" x14ac:dyDescent="0.25">
      <c r="A158" s="11">
        <v>11</v>
      </c>
      <c r="B158" s="11" t="s">
        <v>25</v>
      </c>
      <c r="C158" s="11">
        <f>19096-4919</f>
        <v>14177</v>
      </c>
      <c r="D158" s="11">
        <v>2009</v>
      </c>
      <c r="E158" s="11" t="s">
        <v>5</v>
      </c>
      <c r="F158" s="5">
        <v>6</v>
      </c>
      <c r="G158" s="4" t="s">
        <v>65</v>
      </c>
      <c r="H158" s="4" t="s">
        <v>42</v>
      </c>
      <c r="I158" s="11">
        <v>7.0300000000000001E-2</v>
      </c>
      <c r="J158" s="4">
        <v>583</v>
      </c>
      <c r="K158" s="4">
        <v>0.59</v>
      </c>
      <c r="L158" s="11">
        <v>0</v>
      </c>
      <c r="N158">
        <f>C155^2</f>
        <v>168532324</v>
      </c>
    </row>
    <row r="159" spans="1:14" x14ac:dyDescent="0.25">
      <c r="A159" s="11">
        <v>11</v>
      </c>
      <c r="B159" s="11" t="s">
        <v>25</v>
      </c>
      <c r="C159" s="11">
        <v>51233</v>
      </c>
      <c r="D159" s="11">
        <v>2009</v>
      </c>
      <c r="E159" s="11" t="s">
        <v>15</v>
      </c>
      <c r="F159" s="5">
        <v>6</v>
      </c>
      <c r="G159" s="4" t="s">
        <v>65</v>
      </c>
      <c r="H159" s="4" t="s">
        <v>42</v>
      </c>
      <c r="I159" s="11">
        <v>0.107</v>
      </c>
      <c r="J159" s="4">
        <v>583</v>
      </c>
      <c r="K159" s="4">
        <v>0.5</v>
      </c>
      <c r="L159" s="11">
        <f>IF(E159="Dinamico",2)</f>
        <v>2</v>
      </c>
      <c r="N159">
        <f>C156^2</f>
        <v>2769390625</v>
      </c>
    </row>
    <row r="160" spans="1:14" x14ac:dyDescent="0.25">
      <c r="A160" s="11">
        <v>11</v>
      </c>
      <c r="B160" s="11" t="s">
        <v>25</v>
      </c>
      <c r="C160" s="11">
        <v>159</v>
      </c>
      <c r="D160" s="11">
        <v>2009</v>
      </c>
      <c r="E160" s="11" t="s">
        <v>6</v>
      </c>
      <c r="F160" s="5">
        <v>6</v>
      </c>
      <c r="G160" s="4" t="s">
        <v>65</v>
      </c>
      <c r="H160" s="4" t="s">
        <v>42</v>
      </c>
      <c r="I160" s="11">
        <v>-4.5999999999999999E-3</v>
      </c>
      <c r="J160" s="4">
        <v>583</v>
      </c>
      <c r="K160" s="4">
        <v>0.47</v>
      </c>
      <c r="L160" s="11">
        <v>1</v>
      </c>
    </row>
    <row r="161" spans="1:12" x14ac:dyDescent="0.25">
      <c r="A161" s="11">
        <v>11</v>
      </c>
      <c r="B161" s="11" t="s">
        <v>25</v>
      </c>
      <c r="C161" s="11">
        <f>19961-4977</f>
        <v>14984</v>
      </c>
      <c r="D161" s="11">
        <v>2010</v>
      </c>
      <c r="E161" s="11" t="s">
        <v>5</v>
      </c>
      <c r="F161" s="5">
        <v>6</v>
      </c>
      <c r="G161" s="4" t="s">
        <v>65</v>
      </c>
      <c r="H161" s="4" t="s">
        <v>42</v>
      </c>
      <c r="I161" s="11">
        <v>1.2999999999999999E-3</v>
      </c>
      <c r="J161" s="4">
        <v>574</v>
      </c>
      <c r="K161" s="4">
        <v>0.59</v>
      </c>
      <c r="L161" s="11">
        <f t="shared" si="2"/>
        <v>0</v>
      </c>
    </row>
    <row r="162" spans="1:12" x14ac:dyDescent="0.25">
      <c r="A162" s="11">
        <v>11</v>
      </c>
      <c r="B162" s="11" t="s">
        <v>25</v>
      </c>
      <c r="C162" s="11">
        <v>49983</v>
      </c>
      <c r="D162" s="11">
        <v>2010</v>
      </c>
      <c r="E162" s="11" t="s">
        <v>15</v>
      </c>
      <c r="F162" s="5">
        <v>6</v>
      </c>
      <c r="G162" s="4" t="s">
        <v>65</v>
      </c>
      <c r="H162" s="4" t="s">
        <v>42</v>
      </c>
      <c r="I162" s="11">
        <v>4.3200000000000002E-2</v>
      </c>
      <c r="J162" s="4">
        <v>574</v>
      </c>
      <c r="K162" s="4">
        <v>0.5</v>
      </c>
      <c r="L162" s="11">
        <f>IF(E162="Dinamico",2)</f>
        <v>2</v>
      </c>
    </row>
    <row r="163" spans="1:12" x14ac:dyDescent="0.25">
      <c r="A163" s="11">
        <v>11</v>
      </c>
      <c r="B163" s="11" t="s">
        <v>25</v>
      </c>
      <c r="C163" s="11">
        <v>824</v>
      </c>
      <c r="D163" s="11">
        <v>2010</v>
      </c>
      <c r="E163" s="11" t="s">
        <v>6</v>
      </c>
      <c r="F163" s="5">
        <v>6</v>
      </c>
      <c r="G163" s="4" t="s">
        <v>65</v>
      </c>
      <c r="H163" s="4" t="s">
        <v>42</v>
      </c>
      <c r="I163" s="11">
        <v>3.5999999999999997E-2</v>
      </c>
      <c r="J163" s="4">
        <v>574</v>
      </c>
      <c r="K163" s="4">
        <v>0.47</v>
      </c>
      <c r="L163" s="11">
        <v>1</v>
      </c>
    </row>
    <row r="164" spans="1:12" x14ac:dyDescent="0.25">
      <c r="A164" s="11">
        <v>11</v>
      </c>
      <c r="B164" s="11" t="s">
        <v>25</v>
      </c>
      <c r="C164" s="11">
        <v>15237</v>
      </c>
      <c r="D164" s="11">
        <v>2011</v>
      </c>
      <c r="E164" s="11" t="s">
        <v>5</v>
      </c>
      <c r="F164" s="5">
        <v>6</v>
      </c>
      <c r="G164" s="4" t="s">
        <v>65</v>
      </c>
      <c r="H164" s="4" t="s">
        <v>42</v>
      </c>
      <c r="I164" s="11">
        <v>8.0000000000000002E-3</v>
      </c>
      <c r="J164" s="4">
        <v>540</v>
      </c>
      <c r="K164" s="4">
        <v>0.59</v>
      </c>
      <c r="L164" s="11">
        <f t="shared" si="2"/>
        <v>0</v>
      </c>
    </row>
    <row r="165" spans="1:12" x14ac:dyDescent="0.25">
      <c r="A165" s="11">
        <v>11</v>
      </c>
      <c r="B165" s="11" t="s">
        <v>25</v>
      </c>
      <c r="C165" s="11">
        <v>47662</v>
      </c>
      <c r="D165" s="11">
        <v>2011</v>
      </c>
      <c r="E165" s="11" t="s">
        <v>15</v>
      </c>
      <c r="F165" s="5">
        <v>6</v>
      </c>
      <c r="G165" s="4" t="s">
        <v>65</v>
      </c>
      <c r="H165" s="4" t="s">
        <v>42</v>
      </c>
      <c r="I165" s="11">
        <v>-5.6500000000000002E-2</v>
      </c>
      <c r="J165" s="4">
        <v>540</v>
      </c>
      <c r="K165" s="4">
        <v>0.5</v>
      </c>
      <c r="L165" s="11">
        <f>IF(E165="Dinamico",2)</f>
        <v>2</v>
      </c>
    </row>
    <row r="166" spans="1:12" x14ac:dyDescent="0.25">
      <c r="A166" s="11">
        <v>11</v>
      </c>
      <c r="B166" s="11" t="s">
        <v>25</v>
      </c>
      <c r="C166" s="11">
        <v>1317</v>
      </c>
      <c r="D166" s="11">
        <v>2011</v>
      </c>
      <c r="E166" s="11" t="s">
        <v>6</v>
      </c>
      <c r="F166" s="5">
        <v>6</v>
      </c>
      <c r="G166" s="4" t="s">
        <v>65</v>
      </c>
      <c r="H166" s="4" t="s">
        <v>42</v>
      </c>
      <c r="I166" s="11">
        <v>9.2999999999999999E-2</v>
      </c>
      <c r="J166" s="4">
        <v>540</v>
      </c>
      <c r="K166" s="4">
        <v>0.47</v>
      </c>
      <c r="L166" s="11">
        <v>1</v>
      </c>
    </row>
    <row r="167" spans="1:12" x14ac:dyDescent="0.25">
      <c r="A167" s="11">
        <v>12</v>
      </c>
      <c r="B167" s="11" t="s">
        <v>77</v>
      </c>
      <c r="C167" s="11">
        <v>828</v>
      </c>
      <c r="D167" s="11">
        <v>2007</v>
      </c>
      <c r="E167" s="11" t="s">
        <v>5</v>
      </c>
      <c r="F167" s="5">
        <v>4</v>
      </c>
      <c r="G167" s="4" t="s">
        <v>78</v>
      </c>
      <c r="H167" s="4" t="s">
        <v>40</v>
      </c>
      <c r="I167" s="11">
        <v>2.4299999999999999E-2</v>
      </c>
      <c r="J167" s="4">
        <v>216</v>
      </c>
      <c r="K167" s="4">
        <v>0.6</v>
      </c>
      <c r="L167" s="11">
        <f t="shared" si="2"/>
        <v>0</v>
      </c>
    </row>
    <row r="168" spans="1:12" x14ac:dyDescent="0.25">
      <c r="A168" s="11">
        <v>12</v>
      </c>
      <c r="B168" s="11" t="s">
        <v>77</v>
      </c>
      <c r="C168" s="11">
        <v>14009</v>
      </c>
      <c r="D168" s="11">
        <v>2007</v>
      </c>
      <c r="E168" s="11" t="s">
        <v>6</v>
      </c>
      <c r="F168" s="5">
        <v>4</v>
      </c>
      <c r="G168" s="4" t="s">
        <v>78</v>
      </c>
      <c r="H168" s="4" t="s">
        <v>40</v>
      </c>
      <c r="I168" s="11">
        <v>1.21E-2</v>
      </c>
      <c r="J168" s="4">
        <v>216</v>
      </c>
      <c r="K168" s="4">
        <v>0.54</v>
      </c>
      <c r="L168" s="11">
        <v>1</v>
      </c>
    </row>
    <row r="169" spans="1:12" x14ac:dyDescent="0.25">
      <c r="A169" s="11">
        <v>12</v>
      </c>
      <c r="B169" s="11" t="s">
        <v>77</v>
      </c>
      <c r="C169" s="11">
        <v>0</v>
      </c>
      <c r="D169" s="11">
        <v>2007</v>
      </c>
      <c r="E169" s="11" t="s">
        <v>15</v>
      </c>
      <c r="F169" s="5">
        <v>4</v>
      </c>
      <c r="G169" s="4" t="s">
        <v>78</v>
      </c>
      <c r="H169" s="4" t="s">
        <v>40</v>
      </c>
      <c r="I169" s="11">
        <v>0</v>
      </c>
      <c r="J169" s="4">
        <v>216</v>
      </c>
      <c r="K169" s="4">
        <v>0.54</v>
      </c>
      <c r="L169" s="11">
        <f>IF(E169="Dinamico",2)</f>
        <v>2</v>
      </c>
    </row>
    <row r="170" spans="1:12" x14ac:dyDescent="0.25">
      <c r="A170" s="11">
        <v>12</v>
      </c>
      <c r="B170" s="11" t="s">
        <v>77</v>
      </c>
      <c r="C170" s="11">
        <v>1366</v>
      </c>
      <c r="D170" s="11">
        <v>2008</v>
      </c>
      <c r="E170" s="11" t="s">
        <v>5</v>
      </c>
      <c r="F170" s="5">
        <v>4</v>
      </c>
      <c r="G170" s="4" t="s">
        <v>78</v>
      </c>
      <c r="H170" s="4" t="s">
        <v>40</v>
      </c>
      <c r="I170" s="11">
        <v>3.6400000000000002E-2</v>
      </c>
      <c r="J170" s="4">
        <v>284</v>
      </c>
      <c r="K170" s="4">
        <v>0.6</v>
      </c>
      <c r="L170" s="11">
        <f t="shared" si="2"/>
        <v>0</v>
      </c>
    </row>
    <row r="171" spans="1:12" x14ac:dyDescent="0.25">
      <c r="A171" s="11">
        <v>12</v>
      </c>
      <c r="B171" s="11" t="s">
        <v>77</v>
      </c>
      <c r="C171" s="11">
        <v>16985</v>
      </c>
      <c r="D171" s="11">
        <v>2008</v>
      </c>
      <c r="E171" s="11" t="s">
        <v>6</v>
      </c>
      <c r="F171" s="5">
        <v>4</v>
      </c>
      <c r="G171" s="4" t="s">
        <v>78</v>
      </c>
      <c r="H171" s="4" t="s">
        <v>40</v>
      </c>
      <c r="I171" s="11">
        <v>-9.8100000000000007E-2</v>
      </c>
      <c r="J171" s="4">
        <v>284</v>
      </c>
      <c r="K171" s="4">
        <v>0.54</v>
      </c>
      <c r="L171" s="11">
        <v>1</v>
      </c>
    </row>
    <row r="172" spans="1:12" x14ac:dyDescent="0.25">
      <c r="A172" s="11">
        <v>12</v>
      </c>
      <c r="B172" s="11" t="s">
        <v>77</v>
      </c>
      <c r="C172" s="11">
        <v>209</v>
      </c>
      <c r="D172" s="11">
        <v>2008</v>
      </c>
      <c r="E172" s="11" t="s">
        <v>15</v>
      </c>
      <c r="F172" s="5">
        <v>4</v>
      </c>
      <c r="G172" s="4" t="s">
        <v>78</v>
      </c>
      <c r="H172" s="4" t="s">
        <v>40</v>
      </c>
      <c r="I172" s="11">
        <v>0.04</v>
      </c>
      <c r="J172" s="4">
        <v>284</v>
      </c>
      <c r="K172" s="4">
        <v>0.54</v>
      </c>
      <c r="L172" s="11">
        <f>IF(E172="Dinamico",2)</f>
        <v>2</v>
      </c>
    </row>
    <row r="173" spans="1:12" x14ac:dyDescent="0.25">
      <c r="A173" s="11">
        <v>12</v>
      </c>
      <c r="B173" s="11" t="s">
        <v>77</v>
      </c>
      <c r="C173" s="11">
        <v>232</v>
      </c>
      <c r="D173" s="11">
        <v>2009</v>
      </c>
      <c r="E173" s="11" t="s">
        <v>5</v>
      </c>
      <c r="F173" s="5">
        <v>4</v>
      </c>
      <c r="G173" s="4" t="s">
        <v>78</v>
      </c>
      <c r="H173" s="4" t="s">
        <v>40</v>
      </c>
      <c r="I173" s="11">
        <v>3.9600000000000003E-2</v>
      </c>
      <c r="J173" s="4">
        <v>304</v>
      </c>
      <c r="K173" s="4">
        <v>0.6</v>
      </c>
      <c r="L173" s="11">
        <f t="shared" si="2"/>
        <v>0</v>
      </c>
    </row>
    <row r="174" spans="1:12" x14ac:dyDescent="0.25">
      <c r="A174" s="11">
        <v>12</v>
      </c>
      <c r="B174" s="11" t="s">
        <v>77</v>
      </c>
      <c r="C174" s="11">
        <v>16062</v>
      </c>
      <c r="D174" s="11">
        <v>2009</v>
      </c>
      <c r="E174" s="11" t="s">
        <v>6</v>
      </c>
      <c r="F174" s="5">
        <v>4</v>
      </c>
      <c r="G174" s="4" t="s">
        <v>78</v>
      </c>
      <c r="H174" s="4" t="s">
        <v>40</v>
      </c>
      <c r="I174" s="11">
        <v>0.1158</v>
      </c>
      <c r="J174" s="4">
        <v>304</v>
      </c>
      <c r="K174" s="4">
        <v>0.54</v>
      </c>
      <c r="L174" s="11">
        <v>1</v>
      </c>
    </row>
    <row r="175" spans="1:12" x14ac:dyDescent="0.25">
      <c r="A175" s="11">
        <v>12</v>
      </c>
      <c r="B175" s="11" t="s">
        <v>77</v>
      </c>
      <c r="C175" s="11">
        <v>1436</v>
      </c>
      <c r="D175" s="11">
        <v>2009</v>
      </c>
      <c r="E175" s="11" t="s">
        <v>15</v>
      </c>
      <c r="F175" s="5">
        <v>4</v>
      </c>
      <c r="G175" s="4" t="s">
        <v>78</v>
      </c>
      <c r="H175" s="4" t="s">
        <v>40</v>
      </c>
      <c r="I175" s="11">
        <v>0.14779999999999999</v>
      </c>
      <c r="J175" s="4">
        <v>304</v>
      </c>
      <c r="K175" s="4">
        <v>0.54</v>
      </c>
      <c r="L175" s="11">
        <f>IF(E175="Dinamico",2)</f>
        <v>2</v>
      </c>
    </row>
    <row r="176" spans="1:12" x14ac:dyDescent="0.25">
      <c r="A176" s="11">
        <v>12</v>
      </c>
      <c r="B176" s="11" t="s">
        <v>77</v>
      </c>
      <c r="C176" s="11">
        <v>1400</v>
      </c>
      <c r="D176" s="11">
        <v>2010</v>
      </c>
      <c r="E176" s="11" t="s">
        <v>5</v>
      </c>
      <c r="F176" s="5">
        <v>4</v>
      </c>
      <c r="G176" s="4" t="s">
        <v>78</v>
      </c>
      <c r="H176" s="4" t="s">
        <v>40</v>
      </c>
      <c r="I176" s="11">
        <v>1.3299999999999999E-2</v>
      </c>
      <c r="J176" s="4">
        <v>309</v>
      </c>
      <c r="K176" s="4">
        <v>0.6</v>
      </c>
      <c r="L176" s="11">
        <f t="shared" si="2"/>
        <v>0</v>
      </c>
    </row>
    <row r="177" spans="1:12" x14ac:dyDescent="0.25">
      <c r="A177" s="11">
        <v>12</v>
      </c>
      <c r="B177" s="11" t="s">
        <v>77</v>
      </c>
      <c r="C177" s="11">
        <v>15187</v>
      </c>
      <c r="D177" s="11">
        <v>2010</v>
      </c>
      <c r="E177" s="11" t="s">
        <v>6</v>
      </c>
      <c r="F177" s="5">
        <v>4</v>
      </c>
      <c r="G177" s="4" t="s">
        <v>78</v>
      </c>
      <c r="H177" s="4" t="s">
        <v>40</v>
      </c>
      <c r="I177" s="11">
        <v>6.08E-2</v>
      </c>
      <c r="J177" s="4">
        <v>309</v>
      </c>
      <c r="K177" s="4">
        <v>0.54</v>
      </c>
      <c r="L177" s="11">
        <v>1</v>
      </c>
    </row>
    <row r="178" spans="1:12" x14ac:dyDescent="0.25">
      <c r="A178" s="11">
        <v>12</v>
      </c>
      <c r="B178" s="11" t="s">
        <v>77</v>
      </c>
      <c r="C178" s="11">
        <v>256</v>
      </c>
      <c r="D178" s="11">
        <v>2010</v>
      </c>
      <c r="E178" s="11" t="s">
        <v>15</v>
      </c>
      <c r="F178" s="5">
        <v>4</v>
      </c>
      <c r="G178" s="4" t="s">
        <v>78</v>
      </c>
      <c r="H178" s="4" t="s">
        <v>40</v>
      </c>
      <c r="I178" s="11">
        <v>0.1052</v>
      </c>
      <c r="J178" s="4">
        <v>309</v>
      </c>
      <c r="K178" s="4">
        <v>0.54</v>
      </c>
      <c r="L178" s="11">
        <f>IF(E178="Dinamico",2)</f>
        <v>2</v>
      </c>
    </row>
    <row r="179" spans="1:12" x14ac:dyDescent="0.25">
      <c r="A179" s="11">
        <v>12</v>
      </c>
      <c r="B179" s="11" t="s">
        <v>77</v>
      </c>
      <c r="C179" s="11">
        <v>1402</v>
      </c>
      <c r="D179" s="11">
        <v>2011</v>
      </c>
      <c r="E179" s="11" t="s">
        <v>5</v>
      </c>
      <c r="F179" s="5">
        <v>4</v>
      </c>
      <c r="G179" s="4" t="s">
        <v>78</v>
      </c>
      <c r="H179" s="4" t="s">
        <v>40</v>
      </c>
      <c r="I179" s="11">
        <v>2.2800000000000001E-2</v>
      </c>
      <c r="J179" s="4">
        <v>305</v>
      </c>
      <c r="K179" s="4">
        <v>0.6</v>
      </c>
      <c r="L179" s="11">
        <f t="shared" si="2"/>
        <v>0</v>
      </c>
    </row>
    <row r="180" spans="1:12" x14ac:dyDescent="0.25">
      <c r="A180" s="11">
        <v>12</v>
      </c>
      <c r="B180" s="11" t="s">
        <v>77</v>
      </c>
      <c r="C180" s="11">
        <v>14436</v>
      </c>
      <c r="D180" s="11">
        <v>2011</v>
      </c>
      <c r="E180" s="11" t="s">
        <v>6</v>
      </c>
      <c r="F180" s="5">
        <v>4</v>
      </c>
      <c r="G180" s="4" t="s">
        <v>78</v>
      </c>
      <c r="H180" s="4" t="s">
        <v>40</v>
      </c>
      <c r="I180" s="11">
        <v>2.5899999999999999E-2</v>
      </c>
      <c r="J180" s="4">
        <v>305</v>
      </c>
      <c r="K180" s="4">
        <v>0.54</v>
      </c>
      <c r="L180" s="11">
        <v>1</v>
      </c>
    </row>
    <row r="181" spans="1:12" x14ac:dyDescent="0.25">
      <c r="A181" s="11">
        <v>12</v>
      </c>
      <c r="B181" s="11" t="s">
        <v>77</v>
      </c>
      <c r="C181" s="11">
        <v>276</v>
      </c>
      <c r="D181" s="11">
        <v>2011</v>
      </c>
      <c r="E181" s="11" t="s">
        <v>15</v>
      </c>
      <c r="F181" s="5">
        <v>4</v>
      </c>
      <c r="G181" s="4" t="s">
        <v>78</v>
      </c>
      <c r="H181" s="4" t="s">
        <v>40</v>
      </c>
      <c r="I181" s="11">
        <v>-1.37E-2</v>
      </c>
      <c r="J181" s="4">
        <v>305</v>
      </c>
      <c r="K181" s="4">
        <v>0.54</v>
      </c>
      <c r="L181" s="11">
        <f>IF(E181="Dinamico",2)</f>
        <v>2</v>
      </c>
    </row>
    <row r="182" spans="1:12" x14ac:dyDescent="0.25">
      <c r="A182" s="11">
        <v>13</v>
      </c>
      <c r="B182" s="11" t="s">
        <v>79</v>
      </c>
      <c r="C182" s="11">
        <v>1959</v>
      </c>
      <c r="D182" s="11">
        <v>2007</v>
      </c>
      <c r="E182" s="11" t="s">
        <v>5</v>
      </c>
      <c r="F182" s="5">
        <v>3</v>
      </c>
      <c r="G182" s="4" t="s">
        <v>80</v>
      </c>
      <c r="H182" s="4" t="s">
        <v>40</v>
      </c>
      <c r="I182" s="11">
        <v>2.5999999999999999E-2</v>
      </c>
      <c r="J182" s="4">
        <v>129</v>
      </c>
      <c r="K182" s="4">
        <v>0.66</v>
      </c>
      <c r="L182" s="11">
        <f t="shared" si="2"/>
        <v>0</v>
      </c>
    </row>
    <row r="183" spans="1:12" x14ac:dyDescent="0.25">
      <c r="A183" s="11">
        <v>13</v>
      </c>
      <c r="B183" s="11" t="s">
        <v>79</v>
      </c>
      <c r="C183" s="11">
        <v>9495</v>
      </c>
      <c r="D183" s="11">
        <v>2007</v>
      </c>
      <c r="E183" s="11" t="s">
        <v>6</v>
      </c>
      <c r="F183" s="5">
        <v>3</v>
      </c>
      <c r="G183" s="4" t="s">
        <v>80</v>
      </c>
      <c r="H183" s="4" t="s">
        <v>40</v>
      </c>
      <c r="I183" s="11">
        <v>2.5000000000000001E-2</v>
      </c>
      <c r="J183" s="4">
        <v>129</v>
      </c>
      <c r="K183" s="4">
        <v>0.45</v>
      </c>
      <c r="L183" s="11">
        <v>1</v>
      </c>
    </row>
    <row r="184" spans="1:12" x14ac:dyDescent="0.25">
      <c r="A184" s="11">
        <v>13</v>
      </c>
      <c r="B184" s="11" t="s">
        <v>79</v>
      </c>
      <c r="C184" s="11">
        <v>1331</v>
      </c>
      <c r="D184" s="11">
        <v>2007</v>
      </c>
      <c r="E184" s="11" t="s">
        <v>15</v>
      </c>
      <c r="F184" s="5">
        <v>3</v>
      </c>
      <c r="G184" s="4" t="s">
        <v>80</v>
      </c>
      <c r="H184" s="4" t="s">
        <v>40</v>
      </c>
      <c r="I184" s="11">
        <v>6.7999999999999996E-3</v>
      </c>
      <c r="J184" s="4">
        <v>129</v>
      </c>
      <c r="K184" s="4">
        <v>0.52</v>
      </c>
      <c r="L184" s="11">
        <f>IF(E184="Dinamico",2)</f>
        <v>2</v>
      </c>
    </row>
    <row r="185" spans="1:12" x14ac:dyDescent="0.25">
      <c r="A185" s="11">
        <v>13</v>
      </c>
      <c r="B185" s="11" t="s">
        <v>79</v>
      </c>
      <c r="C185" s="11">
        <v>2142</v>
      </c>
      <c r="D185" s="11">
        <v>2008</v>
      </c>
      <c r="E185" s="11" t="s">
        <v>5</v>
      </c>
      <c r="F185" s="5">
        <v>3</v>
      </c>
      <c r="G185" s="4" t="s">
        <v>80</v>
      </c>
      <c r="H185" s="4" t="s">
        <v>40</v>
      </c>
      <c r="I185" s="11">
        <v>-1.4E-2</v>
      </c>
      <c r="J185" s="4">
        <v>127</v>
      </c>
      <c r="K185" s="4">
        <v>0.66</v>
      </c>
      <c r="L185" s="11">
        <f t="shared" si="2"/>
        <v>0</v>
      </c>
    </row>
    <row r="186" spans="1:12" x14ac:dyDescent="0.25">
      <c r="A186" s="11">
        <v>13</v>
      </c>
      <c r="B186" s="11" t="s">
        <v>79</v>
      </c>
      <c r="C186" s="11">
        <v>8980</v>
      </c>
      <c r="D186" s="11">
        <v>2008</v>
      </c>
      <c r="E186" s="11" t="s">
        <v>6</v>
      </c>
      <c r="F186" s="5">
        <v>3</v>
      </c>
      <c r="G186" s="4" t="s">
        <v>80</v>
      </c>
      <c r="H186" s="4" t="s">
        <v>40</v>
      </c>
      <c r="I186" s="11">
        <v>-6.3799999999999996E-2</v>
      </c>
      <c r="J186" s="4">
        <v>127</v>
      </c>
      <c r="K186" s="4">
        <v>0.45</v>
      </c>
      <c r="L186" s="11">
        <v>1</v>
      </c>
    </row>
    <row r="187" spans="1:12" x14ac:dyDescent="0.25">
      <c r="A187" s="11">
        <v>13</v>
      </c>
      <c r="B187" s="11" t="s">
        <v>79</v>
      </c>
      <c r="C187" s="11">
        <v>1344</v>
      </c>
      <c r="D187" s="11">
        <v>2008</v>
      </c>
      <c r="E187" s="11" t="s">
        <v>15</v>
      </c>
      <c r="F187" s="5">
        <v>3</v>
      </c>
      <c r="G187" s="4" t="s">
        <v>80</v>
      </c>
      <c r="H187" s="4" t="s">
        <v>40</v>
      </c>
      <c r="I187" s="11">
        <v>-0.1797</v>
      </c>
      <c r="J187" s="4">
        <v>127</v>
      </c>
      <c r="K187" s="4">
        <v>0.52</v>
      </c>
      <c r="L187" s="11">
        <f>IF(E187="Dinamico",2)</f>
        <v>2</v>
      </c>
    </row>
    <row r="188" spans="1:12" x14ac:dyDescent="0.25">
      <c r="A188" s="11">
        <v>13</v>
      </c>
      <c r="B188" s="11" t="s">
        <v>79</v>
      </c>
      <c r="C188" s="11">
        <v>2216</v>
      </c>
      <c r="D188" s="11">
        <v>2009</v>
      </c>
      <c r="E188" s="11" t="s">
        <v>5</v>
      </c>
      <c r="F188" s="5">
        <v>3</v>
      </c>
      <c r="G188" s="4" t="s">
        <v>80</v>
      </c>
      <c r="H188" s="4" t="s">
        <v>40</v>
      </c>
      <c r="I188" s="11">
        <v>6.6199999999999995E-2</v>
      </c>
      <c r="J188" s="4">
        <v>108</v>
      </c>
      <c r="K188" s="4">
        <v>0.66</v>
      </c>
      <c r="L188" s="11">
        <f t="shared" si="2"/>
        <v>0</v>
      </c>
    </row>
    <row r="189" spans="1:12" x14ac:dyDescent="0.25">
      <c r="A189" s="11">
        <v>13</v>
      </c>
      <c r="B189" s="11" t="s">
        <v>79</v>
      </c>
      <c r="C189" s="11">
        <v>8624</v>
      </c>
      <c r="D189" s="11">
        <v>2009</v>
      </c>
      <c r="E189" s="11" t="s">
        <v>6</v>
      </c>
      <c r="F189" s="5">
        <v>3</v>
      </c>
      <c r="G189" s="4" t="s">
        <v>80</v>
      </c>
      <c r="H189" s="4" t="s">
        <v>40</v>
      </c>
      <c r="I189" s="11">
        <v>0.10150000000000001</v>
      </c>
      <c r="J189" s="4">
        <v>108</v>
      </c>
      <c r="K189" s="4">
        <v>0.45</v>
      </c>
      <c r="L189" s="11">
        <v>1</v>
      </c>
    </row>
    <row r="190" spans="1:12" x14ac:dyDescent="0.25">
      <c r="A190" s="11">
        <v>13</v>
      </c>
      <c r="B190" s="11" t="s">
        <v>79</v>
      </c>
      <c r="C190" s="11">
        <v>1354</v>
      </c>
      <c r="D190" s="11">
        <v>2009</v>
      </c>
      <c r="E190" s="11" t="s">
        <v>15</v>
      </c>
      <c r="F190" s="5">
        <v>3</v>
      </c>
      <c r="G190" s="4" t="s">
        <v>80</v>
      </c>
      <c r="H190" s="4" t="s">
        <v>40</v>
      </c>
      <c r="I190" s="11">
        <v>0.1245</v>
      </c>
      <c r="J190" s="4">
        <v>108</v>
      </c>
      <c r="K190" s="4">
        <v>0.52</v>
      </c>
      <c r="L190" s="11">
        <f>IF(E190="Dinamico",2)</f>
        <v>2</v>
      </c>
    </row>
    <row r="191" spans="1:12" x14ac:dyDescent="0.25">
      <c r="A191" s="11">
        <v>13</v>
      </c>
      <c r="B191" s="11" t="s">
        <v>79</v>
      </c>
      <c r="C191" s="11">
        <v>2658</v>
      </c>
      <c r="D191" s="11">
        <v>2010</v>
      </c>
      <c r="E191" s="11" t="s">
        <v>5</v>
      </c>
      <c r="F191" s="5">
        <v>3</v>
      </c>
      <c r="G191" s="4" t="s">
        <v>80</v>
      </c>
      <c r="H191" s="4" t="s">
        <v>40</v>
      </c>
      <c r="I191" s="11">
        <v>1.1039999999999999E-2</v>
      </c>
      <c r="J191" s="4">
        <v>109</v>
      </c>
      <c r="K191" s="4">
        <v>0.66</v>
      </c>
      <c r="L191" s="11">
        <f t="shared" si="2"/>
        <v>0</v>
      </c>
    </row>
    <row r="192" spans="1:12" x14ac:dyDescent="0.25">
      <c r="A192" s="11">
        <v>13</v>
      </c>
      <c r="B192" s="11" t="s">
        <v>79</v>
      </c>
      <c r="C192" s="11">
        <v>8206</v>
      </c>
      <c r="D192" s="11">
        <v>2010</v>
      </c>
      <c r="E192" s="11" t="s">
        <v>6</v>
      </c>
      <c r="F192" s="5">
        <v>3</v>
      </c>
      <c r="G192" s="4" t="s">
        <v>80</v>
      </c>
      <c r="H192" s="4" t="s">
        <v>40</v>
      </c>
      <c r="I192" s="11">
        <v>4.3299999999999998E-2</v>
      </c>
      <c r="J192" s="4">
        <v>109</v>
      </c>
      <c r="K192" s="4">
        <v>0.45</v>
      </c>
      <c r="L192" s="11">
        <v>1</v>
      </c>
    </row>
    <row r="193" spans="1:12" x14ac:dyDescent="0.25">
      <c r="A193" s="11">
        <v>13</v>
      </c>
      <c r="B193" s="11" t="s">
        <v>79</v>
      </c>
      <c r="C193" s="11">
        <v>1332</v>
      </c>
      <c r="D193" s="11">
        <v>2010</v>
      </c>
      <c r="E193" s="11" t="s">
        <v>15</v>
      </c>
      <c r="F193" s="5">
        <v>3</v>
      </c>
      <c r="G193" s="4" t="s">
        <v>80</v>
      </c>
      <c r="H193" s="4" t="s">
        <v>40</v>
      </c>
      <c r="I193" s="11">
        <v>4.1439999999999998E-2</v>
      </c>
      <c r="J193" s="4">
        <v>109</v>
      </c>
      <c r="K193" s="4">
        <v>0.52</v>
      </c>
      <c r="L193" s="11">
        <f>IF(E193="Dinamico",2)</f>
        <v>2</v>
      </c>
    </row>
    <row r="194" spans="1:12" x14ac:dyDescent="0.25">
      <c r="A194" s="11">
        <v>13</v>
      </c>
      <c r="B194" s="11" t="s">
        <v>79</v>
      </c>
      <c r="C194" s="11">
        <v>2215</v>
      </c>
      <c r="D194" s="11">
        <v>2011</v>
      </c>
      <c r="E194" s="11" t="s">
        <v>5</v>
      </c>
      <c r="F194" s="5">
        <v>3</v>
      </c>
      <c r="G194" s="4" t="s">
        <v>80</v>
      </c>
      <c r="H194" s="4" t="s">
        <v>40</v>
      </c>
      <c r="I194" s="11">
        <v>1.265E-2</v>
      </c>
      <c r="J194" s="4">
        <v>116</v>
      </c>
      <c r="K194" s="4">
        <v>0.66</v>
      </c>
      <c r="L194" s="11">
        <f t="shared" si="2"/>
        <v>0</v>
      </c>
    </row>
    <row r="195" spans="1:12" x14ac:dyDescent="0.25">
      <c r="A195" s="11">
        <v>13</v>
      </c>
      <c r="B195" s="11" t="s">
        <v>79</v>
      </c>
      <c r="C195" s="11">
        <v>8094</v>
      </c>
      <c r="D195" s="11">
        <v>2011</v>
      </c>
      <c r="E195" s="11" t="s">
        <v>6</v>
      </c>
      <c r="F195" s="5">
        <v>3</v>
      </c>
      <c r="G195" s="4" t="s">
        <v>80</v>
      </c>
      <c r="H195" s="4" t="s">
        <v>40</v>
      </c>
      <c r="I195" s="11">
        <v>2.1600000000000001E-2</v>
      </c>
      <c r="J195" s="4">
        <v>116</v>
      </c>
      <c r="K195" s="4">
        <v>0.45</v>
      </c>
      <c r="L195" s="11">
        <v>1</v>
      </c>
    </row>
    <row r="196" spans="1:12" x14ac:dyDescent="0.25">
      <c r="A196" s="11">
        <v>13</v>
      </c>
      <c r="B196" s="11" t="s">
        <v>79</v>
      </c>
      <c r="C196" s="11">
        <v>1306</v>
      </c>
      <c r="D196" s="11">
        <v>2011</v>
      </c>
      <c r="E196" s="11" t="s">
        <v>15</v>
      </c>
      <c r="F196" s="5">
        <v>3</v>
      </c>
      <c r="G196" s="4" t="s">
        <v>80</v>
      </c>
      <c r="H196" s="4" t="s">
        <v>40</v>
      </c>
      <c r="I196" s="11">
        <v>1.269E-2</v>
      </c>
      <c r="J196" s="4">
        <v>116</v>
      </c>
      <c r="K196" s="4">
        <v>0.52</v>
      </c>
      <c r="L196" s="11">
        <f>IF(E196="Dinamico",2)</f>
        <v>2</v>
      </c>
    </row>
  </sheetData>
  <sortState ref="B2:H166">
    <sortCondition ref="B2:B166"/>
    <sortCondition ref="D2:D166"/>
    <sortCondition descending="1" ref="E2:E166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3"/>
  <sheetViews>
    <sheetView topLeftCell="A17" workbookViewId="0">
      <selection activeCell="A21" sqref="A21"/>
    </sheetView>
  </sheetViews>
  <sheetFormatPr defaultRowHeight="15" x14ac:dyDescent="0.25"/>
  <cols>
    <col min="1" max="7" width="9.140625" style="11"/>
    <col min="8" max="8" width="19" style="11" customWidth="1"/>
    <col min="9" max="11" width="9.140625" style="11"/>
    <col min="12" max="12" width="9.7109375" style="11" bestFit="1" customWidth="1"/>
    <col min="14" max="14" width="18.28515625" customWidth="1"/>
    <col min="15" max="15" width="11" bestFit="1" customWidth="1"/>
  </cols>
  <sheetData>
    <row r="1" spans="1:19" s="6" customFormat="1" x14ac:dyDescent="0.25">
      <c r="A1" s="9" t="s">
        <v>75</v>
      </c>
      <c r="B1" s="10" t="s">
        <v>0</v>
      </c>
      <c r="C1" s="10" t="s">
        <v>1</v>
      </c>
      <c r="D1" s="10" t="s">
        <v>26</v>
      </c>
      <c r="E1" s="10" t="s">
        <v>2</v>
      </c>
      <c r="F1" s="10" t="s">
        <v>68</v>
      </c>
      <c r="G1" s="10" t="s">
        <v>69</v>
      </c>
      <c r="H1" s="10" t="s">
        <v>38</v>
      </c>
      <c r="I1" s="10" t="s">
        <v>73</v>
      </c>
      <c r="J1" s="9" t="s">
        <v>74</v>
      </c>
      <c r="K1" s="9" t="s">
        <v>76</v>
      </c>
      <c r="L1" s="9" t="s">
        <v>82</v>
      </c>
    </row>
    <row r="2" spans="1:19" x14ac:dyDescent="0.25">
      <c r="A2" s="11">
        <v>1</v>
      </c>
      <c r="B2" s="12" t="s">
        <v>27</v>
      </c>
      <c r="C2" s="12">
        <f>43838</f>
        <v>43838</v>
      </c>
      <c r="D2" s="12">
        <v>2007</v>
      </c>
      <c r="E2" s="12" t="s">
        <v>28</v>
      </c>
      <c r="F2" s="3">
        <v>4</v>
      </c>
      <c r="G2" s="4" t="s">
        <v>45</v>
      </c>
      <c r="H2" s="4" t="s">
        <v>40</v>
      </c>
      <c r="I2" s="11">
        <v>2.52E-2</v>
      </c>
      <c r="J2" s="4">
        <v>16945</v>
      </c>
      <c r="K2" s="4">
        <v>0.31</v>
      </c>
      <c r="L2" s="11">
        <v>0</v>
      </c>
    </row>
    <row r="3" spans="1:19" x14ac:dyDescent="0.25">
      <c r="A3" s="11">
        <v>1</v>
      </c>
      <c r="B3" s="12" t="s">
        <v>27</v>
      </c>
      <c r="C3" s="12">
        <v>186748</v>
      </c>
      <c r="D3" s="12">
        <v>2007</v>
      </c>
      <c r="E3" s="12" t="s">
        <v>29</v>
      </c>
      <c r="F3" s="5">
        <v>4</v>
      </c>
      <c r="G3" s="4" t="s">
        <v>45</v>
      </c>
      <c r="H3" s="4" t="s">
        <v>40</v>
      </c>
      <c r="I3" s="11">
        <v>2.4799999999999999E-2</v>
      </c>
      <c r="J3" s="4">
        <v>16945</v>
      </c>
      <c r="K3" s="4">
        <v>0.39</v>
      </c>
      <c r="L3" s="11">
        <f>IF(E3="Prudente",1)</f>
        <v>1</v>
      </c>
    </row>
    <row r="4" spans="1:19" x14ac:dyDescent="0.25">
      <c r="A4" s="11">
        <v>1</v>
      </c>
      <c r="B4" s="12" t="s">
        <v>27</v>
      </c>
      <c r="C4" s="12">
        <v>228648</v>
      </c>
      <c r="D4" s="12">
        <v>2007</v>
      </c>
      <c r="E4" s="12" t="s">
        <v>6</v>
      </c>
      <c r="F4" s="5">
        <v>4</v>
      </c>
      <c r="G4" s="4" t="s">
        <v>45</v>
      </c>
      <c r="H4" s="4" t="s">
        <v>40</v>
      </c>
      <c r="I4" s="11">
        <v>2.6800000000000001E-2</v>
      </c>
      <c r="J4" s="4">
        <v>16945</v>
      </c>
      <c r="K4" s="4">
        <v>0.35</v>
      </c>
      <c r="L4" s="11">
        <f>IF(E4="Bilanciato",2,3)</f>
        <v>2</v>
      </c>
    </row>
    <row r="5" spans="1:19" x14ac:dyDescent="0.25">
      <c r="A5" s="11">
        <v>1</v>
      </c>
      <c r="B5" s="12" t="s">
        <v>27</v>
      </c>
      <c r="C5" s="12">
        <v>14888</v>
      </c>
      <c r="D5" s="12">
        <v>2007</v>
      </c>
      <c r="E5" s="12" t="s">
        <v>15</v>
      </c>
      <c r="F5" s="5">
        <v>4</v>
      </c>
      <c r="G5" s="4" t="s">
        <v>45</v>
      </c>
      <c r="H5" s="4" t="s">
        <v>40</v>
      </c>
      <c r="I5" s="11">
        <v>1.8599999999999998E-2</v>
      </c>
      <c r="J5" s="4">
        <v>16945</v>
      </c>
      <c r="K5" s="4">
        <v>0.39</v>
      </c>
      <c r="L5" s="11">
        <f>IF(E5="Bilanciato",2,3)</f>
        <v>3</v>
      </c>
      <c r="O5">
        <v>2007</v>
      </c>
      <c r="P5">
        <v>2008</v>
      </c>
      <c r="Q5">
        <v>2009</v>
      </c>
      <c r="R5">
        <v>2010</v>
      </c>
      <c r="S5">
        <v>2011</v>
      </c>
    </row>
    <row r="6" spans="1:19" x14ac:dyDescent="0.25">
      <c r="A6" s="11">
        <v>1</v>
      </c>
      <c r="B6" s="12" t="s">
        <v>27</v>
      </c>
      <c r="C6" s="12">
        <v>192827</v>
      </c>
      <c r="D6" s="12">
        <v>2008</v>
      </c>
      <c r="E6" s="12" t="s">
        <v>29</v>
      </c>
      <c r="F6" s="5">
        <v>4</v>
      </c>
      <c r="G6" s="4" t="s">
        <v>45</v>
      </c>
      <c r="H6" s="4" t="s">
        <v>40</v>
      </c>
      <c r="I6" s="11">
        <v>3.6299999999999999E-2</v>
      </c>
      <c r="J6" s="4">
        <v>17951</v>
      </c>
      <c r="K6" s="4">
        <v>0.31</v>
      </c>
      <c r="L6" s="11">
        <f t="shared" ref="L6:L60" si="0">IF(E6="Prudente",1)</f>
        <v>1</v>
      </c>
      <c r="N6" t="s">
        <v>91</v>
      </c>
      <c r="O6" s="15">
        <v>0.38</v>
      </c>
      <c r="P6" s="15">
        <v>0.38</v>
      </c>
      <c r="Q6" s="15">
        <v>0.38</v>
      </c>
      <c r="R6" s="15">
        <v>0.38</v>
      </c>
      <c r="S6" s="15">
        <v>0.38</v>
      </c>
    </row>
    <row r="7" spans="1:19" x14ac:dyDescent="0.25">
      <c r="A7" s="11">
        <v>1</v>
      </c>
      <c r="B7" s="12" t="s">
        <v>27</v>
      </c>
      <c r="C7" s="12">
        <f>54530-20576</f>
        <v>33954</v>
      </c>
      <c r="D7" s="12">
        <v>2008</v>
      </c>
      <c r="E7" s="12" t="s">
        <v>28</v>
      </c>
      <c r="F7" s="5">
        <v>4</v>
      </c>
      <c r="G7" s="4" t="s">
        <v>45</v>
      </c>
      <c r="H7" s="4" t="s">
        <v>40</v>
      </c>
      <c r="I7" s="11">
        <v>2.3699999999999999E-2</v>
      </c>
      <c r="J7" s="4">
        <v>17951</v>
      </c>
      <c r="K7" s="4">
        <v>0.39</v>
      </c>
      <c r="L7" s="11">
        <v>0</v>
      </c>
      <c r="N7" t="s">
        <v>92</v>
      </c>
      <c r="O7" s="15">
        <v>2.8000000000000001E-2</v>
      </c>
      <c r="P7" s="15">
        <v>0.03</v>
      </c>
      <c r="Q7" s="15">
        <v>0.04</v>
      </c>
      <c r="R7" s="15">
        <v>0.03</v>
      </c>
      <c r="S7" s="15">
        <v>0.03</v>
      </c>
    </row>
    <row r="8" spans="1:19" x14ac:dyDescent="0.25">
      <c r="A8" s="11">
        <v>1</v>
      </c>
      <c r="B8" s="12" t="s">
        <v>27</v>
      </c>
      <c r="C8" s="12">
        <v>211936</v>
      </c>
      <c r="D8" s="12">
        <v>2008</v>
      </c>
      <c r="E8" s="12" t="s">
        <v>6</v>
      </c>
      <c r="F8" s="5">
        <v>4</v>
      </c>
      <c r="G8" s="4" t="s">
        <v>45</v>
      </c>
      <c r="H8" s="4" t="s">
        <v>40</v>
      </c>
      <c r="I8" s="11">
        <v>-3.56E-2</v>
      </c>
      <c r="J8" s="4">
        <v>17951</v>
      </c>
      <c r="K8" s="4">
        <v>0.35</v>
      </c>
      <c r="L8" s="11">
        <f>IF(E8="Bilanciato",2,3)</f>
        <v>2</v>
      </c>
      <c r="N8" t="s">
        <v>91</v>
      </c>
      <c r="O8" s="15">
        <f>SUMIFS(K2:K113,E2:E113,"Prudente",D2:D113,"2007")/6</f>
        <v>0.29499999999999998</v>
      </c>
      <c r="P8" s="15">
        <v>0.38</v>
      </c>
      <c r="Q8" s="15">
        <v>0.38</v>
      </c>
      <c r="R8" s="15">
        <v>0.38</v>
      </c>
      <c r="S8" s="15">
        <v>0.38</v>
      </c>
    </row>
    <row r="9" spans="1:19" x14ac:dyDescent="0.25">
      <c r="A9" s="11">
        <v>1</v>
      </c>
      <c r="B9" s="12" t="s">
        <v>27</v>
      </c>
      <c r="C9" s="12">
        <v>15090</v>
      </c>
      <c r="D9" s="12">
        <v>2008</v>
      </c>
      <c r="E9" s="12" t="s">
        <v>15</v>
      </c>
      <c r="F9" s="5">
        <v>4</v>
      </c>
      <c r="G9" s="4" t="s">
        <v>45</v>
      </c>
      <c r="H9" s="4" t="s">
        <v>40</v>
      </c>
      <c r="I9" s="11">
        <v>-0.15670000000000001</v>
      </c>
      <c r="J9" s="4">
        <v>17951</v>
      </c>
      <c r="K9" s="4">
        <v>0.39</v>
      </c>
      <c r="L9" s="11">
        <f>IF(E9="Bilanciato",2,3)</f>
        <v>3</v>
      </c>
      <c r="N9" t="s">
        <v>92</v>
      </c>
      <c r="O9" s="15">
        <f>SUMIFS(I2:I113,E2:E113,"Prudente",D2:D113,"2007")/6</f>
        <v>1.1899999999999999E-2</v>
      </c>
      <c r="P9" s="15">
        <f>SUMIFS(I2:I113,E2:E113,"Prudente",D2:D113,"2008")/6</f>
        <v>-7.4999999999999839E-4</v>
      </c>
      <c r="Q9" s="15">
        <f>SUMIFS(I2:I113,E2:E113,"Prudente",D2:D113,"2009")/6</f>
        <v>6.6566666666666677E-2</v>
      </c>
      <c r="R9" s="15">
        <f>SUMIFS(I2:I113,E2:E113,"Prudente",D2:D113,"2010")/6</f>
        <v>1.9550000000000001E-2</v>
      </c>
      <c r="S9" s="15">
        <f>SUMIFS(I2:I113,E2:E113,"Prudente",D2:D113,"2011")/6</f>
        <v>1.2216666666666667E-2</v>
      </c>
    </row>
    <row r="10" spans="1:19" x14ac:dyDescent="0.25">
      <c r="A10" s="11">
        <v>1</v>
      </c>
      <c r="B10" s="12" t="s">
        <v>27</v>
      </c>
      <c r="C10" s="12">
        <v>191518</v>
      </c>
      <c r="D10" s="12">
        <v>2009</v>
      </c>
      <c r="E10" s="12" t="s">
        <v>29</v>
      </c>
      <c r="F10" s="5">
        <v>4</v>
      </c>
      <c r="G10" s="4" t="s">
        <v>45</v>
      </c>
      <c r="H10" s="4" t="s">
        <v>40</v>
      </c>
      <c r="I10" s="11">
        <v>3.3799999999999997E-2</v>
      </c>
      <c r="J10" s="4">
        <v>18238</v>
      </c>
      <c r="K10" s="4">
        <v>0.31</v>
      </c>
      <c r="L10" s="11">
        <f t="shared" si="0"/>
        <v>1</v>
      </c>
      <c r="N10" t="s">
        <v>91</v>
      </c>
      <c r="O10" s="15">
        <f>SUMIFS(K2:K113,E2:E113,"Bilanciato",D2:D113,"2007")/6</f>
        <v>0.23333333333333331</v>
      </c>
      <c r="P10" s="15">
        <v>0.39</v>
      </c>
      <c r="Q10" s="15">
        <v>0.39</v>
      </c>
      <c r="R10" s="15">
        <v>0.39</v>
      </c>
      <c r="S10" s="15">
        <v>0.39</v>
      </c>
    </row>
    <row r="11" spans="1:19" x14ac:dyDescent="0.25">
      <c r="A11" s="11">
        <v>1</v>
      </c>
      <c r="B11" s="12" t="s">
        <v>27</v>
      </c>
      <c r="C11" s="12">
        <f>58408-20789</f>
        <v>37619</v>
      </c>
      <c r="D11" s="12">
        <v>2009</v>
      </c>
      <c r="E11" s="12" t="s">
        <v>28</v>
      </c>
      <c r="F11" s="5">
        <v>4</v>
      </c>
      <c r="G11" s="4" t="s">
        <v>45</v>
      </c>
      <c r="H11" s="4" t="s">
        <v>40</v>
      </c>
      <c r="I11" s="11">
        <v>2.52E-2</v>
      </c>
      <c r="J11" s="4">
        <v>18238</v>
      </c>
      <c r="K11" s="4">
        <v>0.39</v>
      </c>
      <c r="L11" s="11">
        <v>0</v>
      </c>
      <c r="N11" t="s">
        <v>92</v>
      </c>
      <c r="O11" s="15">
        <f>SUMIFS(I2:I113,E2:E113,"Bilanciato",D2:D113,"2007")/6</f>
        <v>6.2500000000000012E-3</v>
      </c>
      <c r="P11" s="15">
        <f>SUMIFS(I2:I113,E2:E113,"Bilanciato",D2:D113,"2008")/6</f>
        <v>-5.5916666666666663E-2</v>
      </c>
      <c r="Q11" s="15">
        <f>SUMIFS(I2:I113,E2:E113,"Bilanciato",D2:D113,"2009")/6</f>
        <v>8.7849999999999984E-2</v>
      </c>
      <c r="R11" s="15">
        <f>SUMIFS(I2:I113,E2:E113,"Bilanciato",D2:D113,"2010")/6</f>
        <v>3.2866666666666669E-2</v>
      </c>
      <c r="S11" s="15">
        <f>SUMIFS(I2:I113,E2:E113,"Bilanciato",D2:D113,"2011")/6</f>
        <v>-8.3833333333333329E-3</v>
      </c>
    </row>
    <row r="12" spans="1:19" x14ac:dyDescent="0.25">
      <c r="A12" s="11">
        <v>1</v>
      </c>
      <c r="B12" s="12" t="s">
        <v>27</v>
      </c>
      <c r="C12" s="12">
        <v>199539</v>
      </c>
      <c r="D12" s="12">
        <v>2009</v>
      </c>
      <c r="E12" s="12" t="s">
        <v>6</v>
      </c>
      <c r="F12" s="5">
        <v>4</v>
      </c>
      <c r="G12" s="4" t="s">
        <v>45</v>
      </c>
      <c r="H12" s="4" t="s">
        <v>40</v>
      </c>
      <c r="I12" s="11">
        <v>7.2300000000000003E-2</v>
      </c>
      <c r="J12" s="4">
        <v>18238</v>
      </c>
      <c r="K12" s="4">
        <v>0.35</v>
      </c>
      <c r="L12" s="11">
        <f>IF(E12="Bilanciato",2,3)</f>
        <v>2</v>
      </c>
      <c r="N12" t="s">
        <v>91</v>
      </c>
      <c r="O12" s="15">
        <f>SUMIFS(K2:K113,E2:E113,"Dinamico",D2:D113,"2007")/6</f>
        <v>0.28333333333333338</v>
      </c>
      <c r="P12" s="15">
        <v>0.44</v>
      </c>
      <c r="Q12" s="15">
        <v>0.44</v>
      </c>
      <c r="R12" s="15">
        <v>0.44</v>
      </c>
      <c r="S12" s="15">
        <v>0.44</v>
      </c>
    </row>
    <row r="13" spans="1:19" x14ac:dyDescent="0.25">
      <c r="A13" s="11">
        <v>1</v>
      </c>
      <c r="B13" s="12" t="s">
        <v>27</v>
      </c>
      <c r="C13" s="12">
        <v>15381</v>
      </c>
      <c r="D13" s="12">
        <v>2009</v>
      </c>
      <c r="E13" s="12" t="s">
        <v>15</v>
      </c>
      <c r="F13" s="5">
        <v>4</v>
      </c>
      <c r="G13" s="4" t="s">
        <v>45</v>
      </c>
      <c r="H13" s="4" t="s">
        <v>40</v>
      </c>
      <c r="I13" s="11">
        <v>0.13719999999999999</v>
      </c>
      <c r="J13" s="4">
        <v>18238</v>
      </c>
      <c r="K13" s="4">
        <v>0.39</v>
      </c>
      <c r="L13" s="11">
        <f>IF(E13="Bilanciato",2,3)</f>
        <v>3</v>
      </c>
      <c r="N13" t="s">
        <v>92</v>
      </c>
      <c r="O13" s="15">
        <f>SUMIFS(I2:I113,E2:E113,"Dinamico",D2:D113,"2007")/6</f>
        <v>7.6999999999999994E-3</v>
      </c>
      <c r="P13" s="15">
        <f>SUMIFS(I2:I113,E2:E113,"Dinamico",D2:D113,"2008")/6</f>
        <v>-0.13843333333333335</v>
      </c>
      <c r="Q13" s="15">
        <f>SUMIFS(I2:I113,E2:E113,"Dinamico",D2:D113,"2009")/6</f>
        <v>0.13470000000000001</v>
      </c>
      <c r="R13" s="15">
        <f>SUMIFS(I2:I113,E2:E113,"Dinamico",D2:D113,"2010")/6</f>
        <v>6.6199999999999995E-2</v>
      </c>
      <c r="S13" s="15">
        <f>SUMIFS(I2:I113,E2:E113,"Dinamico",D2:D113,"2011")/6</f>
        <v>-1.1816666666666665E-2</v>
      </c>
    </row>
    <row r="14" spans="1:19" x14ac:dyDescent="0.25">
      <c r="A14" s="11">
        <v>1</v>
      </c>
      <c r="B14" s="12" t="s">
        <v>27</v>
      </c>
      <c r="C14" s="12">
        <v>185000</v>
      </c>
      <c r="D14" s="12">
        <v>2010</v>
      </c>
      <c r="E14" s="12" t="s">
        <v>29</v>
      </c>
      <c r="F14" s="5">
        <v>4</v>
      </c>
      <c r="G14" s="4" t="s">
        <v>45</v>
      </c>
      <c r="H14" s="4" t="s">
        <v>40</v>
      </c>
      <c r="I14" s="11">
        <v>-1.7100000000000001E-2</v>
      </c>
      <c r="J14" s="4">
        <v>18372</v>
      </c>
      <c r="K14" s="4">
        <v>0.31</v>
      </c>
      <c r="L14" s="11">
        <f t="shared" si="0"/>
        <v>1</v>
      </c>
    </row>
    <row r="15" spans="1:19" x14ac:dyDescent="0.25">
      <c r="A15" s="11">
        <v>1</v>
      </c>
      <c r="B15" s="12" t="s">
        <v>27</v>
      </c>
      <c r="C15" s="12">
        <f>59579-20415</f>
        <v>39164</v>
      </c>
      <c r="D15" s="12">
        <v>2010</v>
      </c>
      <c r="E15" s="12" t="s">
        <v>28</v>
      </c>
      <c r="F15" s="5">
        <v>4</v>
      </c>
      <c r="G15" s="4" t="s">
        <v>45</v>
      </c>
      <c r="H15" s="4" t="s">
        <v>40</v>
      </c>
      <c r="I15" s="11">
        <v>3.8999999999999998E-3</v>
      </c>
      <c r="J15" s="4">
        <v>18372</v>
      </c>
      <c r="K15" s="4">
        <v>0.39</v>
      </c>
      <c r="L15" s="11">
        <v>0</v>
      </c>
    </row>
    <row r="16" spans="1:19" x14ac:dyDescent="0.25">
      <c r="A16" s="11">
        <v>1</v>
      </c>
      <c r="B16" s="12" t="s">
        <v>27</v>
      </c>
      <c r="C16" s="12">
        <v>189286</v>
      </c>
      <c r="D16" s="12">
        <v>2010</v>
      </c>
      <c r="E16" s="12" t="s">
        <v>6</v>
      </c>
      <c r="F16" s="5">
        <v>4</v>
      </c>
      <c r="G16" s="4" t="s">
        <v>45</v>
      </c>
      <c r="H16" s="4" t="s">
        <v>40</v>
      </c>
      <c r="I16" s="11">
        <v>3.2899999999999999E-2</v>
      </c>
      <c r="J16" s="4">
        <v>18372</v>
      </c>
      <c r="K16" s="4">
        <v>0.35</v>
      </c>
      <c r="L16" s="11">
        <f>IF(E16="Bilanciato",2,3)</f>
        <v>2</v>
      </c>
    </row>
    <row r="17" spans="1:12" x14ac:dyDescent="0.25">
      <c r="A17" s="11">
        <v>1</v>
      </c>
      <c r="B17" s="12" t="s">
        <v>27</v>
      </c>
      <c r="C17" s="12">
        <v>15631</v>
      </c>
      <c r="D17" s="12">
        <v>2010</v>
      </c>
      <c r="E17" s="12" t="s">
        <v>15</v>
      </c>
      <c r="F17" s="5">
        <v>4</v>
      </c>
      <c r="G17" s="4" t="s">
        <v>45</v>
      </c>
      <c r="H17" s="4" t="s">
        <v>40</v>
      </c>
      <c r="I17" s="11">
        <v>4.1500000000000002E-2</v>
      </c>
      <c r="J17" s="4">
        <v>18372</v>
      </c>
      <c r="K17" s="4">
        <v>0.39</v>
      </c>
      <c r="L17" s="11">
        <f>IF(E17="Bilanciato",2,3)</f>
        <v>3</v>
      </c>
    </row>
    <row r="18" spans="1:12" x14ac:dyDescent="0.25">
      <c r="A18" s="11">
        <v>1</v>
      </c>
      <c r="B18" s="12" t="s">
        <v>27</v>
      </c>
      <c r="C18" s="12">
        <v>38839</v>
      </c>
      <c r="D18" s="12">
        <v>2011</v>
      </c>
      <c r="E18" s="12" t="s">
        <v>28</v>
      </c>
      <c r="F18" s="5">
        <v>4</v>
      </c>
      <c r="G18" s="4" t="s">
        <v>45</v>
      </c>
      <c r="H18" s="4" t="s">
        <v>40</v>
      </c>
      <c r="I18" s="11">
        <v>1.77E-2</v>
      </c>
      <c r="J18" s="4">
        <v>18558</v>
      </c>
      <c r="K18" s="4">
        <v>0.31</v>
      </c>
      <c r="L18" s="11">
        <v>0</v>
      </c>
    </row>
    <row r="19" spans="1:12" x14ac:dyDescent="0.25">
      <c r="A19" s="11">
        <v>1</v>
      </c>
      <c r="B19" s="12" t="s">
        <v>27</v>
      </c>
      <c r="C19" s="12">
        <v>179388</v>
      </c>
      <c r="D19" s="12">
        <v>2011</v>
      </c>
      <c r="E19" s="12" t="s">
        <v>6</v>
      </c>
      <c r="F19" s="5">
        <v>4</v>
      </c>
      <c r="G19" s="4" t="s">
        <v>45</v>
      </c>
      <c r="H19" s="4" t="s">
        <v>40</v>
      </c>
      <c r="I19" s="11">
        <v>-5.28E-2</v>
      </c>
      <c r="J19" s="4">
        <v>18558</v>
      </c>
      <c r="K19" s="4">
        <v>0.39</v>
      </c>
      <c r="L19" s="11">
        <f>IF(E19="Bilanciato",2,3)</f>
        <v>2</v>
      </c>
    </row>
    <row r="20" spans="1:12" x14ac:dyDescent="0.25">
      <c r="A20" s="11">
        <v>1</v>
      </c>
      <c r="B20" s="12" t="s">
        <v>27</v>
      </c>
      <c r="C20" s="12">
        <v>15605</v>
      </c>
      <c r="D20" s="12">
        <v>2011</v>
      </c>
      <c r="E20" s="12" t="s">
        <v>15</v>
      </c>
      <c r="F20" s="5">
        <v>4</v>
      </c>
      <c r="G20" s="4" t="s">
        <v>45</v>
      </c>
      <c r="H20" s="4" t="s">
        <v>40</v>
      </c>
      <c r="I20" s="11">
        <v>-2.5000000000000001E-3</v>
      </c>
      <c r="J20" s="4">
        <v>18558</v>
      </c>
      <c r="K20" s="4">
        <v>0.35</v>
      </c>
      <c r="L20" s="11">
        <f>IF(E20="Bilanciato",2,3)</f>
        <v>3</v>
      </c>
    </row>
    <row r="21" spans="1:12" x14ac:dyDescent="0.25">
      <c r="A21" s="11">
        <v>1</v>
      </c>
      <c r="B21" s="12" t="s">
        <v>27</v>
      </c>
      <c r="C21" s="12">
        <v>181335</v>
      </c>
      <c r="D21" s="12">
        <v>2011</v>
      </c>
      <c r="E21" s="12" t="s">
        <v>29</v>
      </c>
      <c r="F21" s="5">
        <v>4</v>
      </c>
      <c r="G21" s="4" t="s">
        <v>45</v>
      </c>
      <c r="H21" s="4" t="s">
        <v>40</v>
      </c>
      <c r="I21" s="11">
        <v>1.66E-2</v>
      </c>
      <c r="J21" s="4">
        <v>18558</v>
      </c>
      <c r="K21" s="4">
        <v>0.39</v>
      </c>
      <c r="L21" s="11">
        <f t="shared" si="0"/>
        <v>1</v>
      </c>
    </row>
    <row r="22" spans="1:12" x14ac:dyDescent="0.25">
      <c r="A22" s="11">
        <v>2</v>
      </c>
      <c r="B22" s="12" t="s">
        <v>30</v>
      </c>
      <c r="C22" s="12">
        <v>82596</v>
      </c>
      <c r="D22" s="12">
        <v>2008</v>
      </c>
      <c r="E22" s="12" t="s">
        <v>29</v>
      </c>
      <c r="F22" s="5">
        <v>9</v>
      </c>
      <c r="G22" s="4" t="s">
        <v>56</v>
      </c>
      <c r="H22" s="4" t="s">
        <v>40</v>
      </c>
      <c r="I22" s="11">
        <v>-3.7199999999999997E-2</v>
      </c>
      <c r="J22" s="4">
        <v>18004</v>
      </c>
      <c r="K22" s="4">
        <v>0.47</v>
      </c>
      <c r="L22" s="11">
        <f t="shared" si="0"/>
        <v>1</v>
      </c>
    </row>
    <row r="23" spans="1:12" x14ac:dyDescent="0.25">
      <c r="A23" s="11">
        <v>2</v>
      </c>
      <c r="B23" s="12" t="s">
        <v>30</v>
      </c>
      <c r="C23" s="12">
        <f>77944-25965</f>
        <v>51979</v>
      </c>
      <c r="D23" s="12">
        <v>2008</v>
      </c>
      <c r="E23" s="12" t="s">
        <v>28</v>
      </c>
      <c r="F23" s="5">
        <v>9</v>
      </c>
      <c r="G23" s="4" t="s">
        <v>56</v>
      </c>
      <c r="H23" s="4" t="s">
        <v>40</v>
      </c>
      <c r="I23" s="11">
        <v>4.3400000000000001E-2</v>
      </c>
      <c r="J23" s="4">
        <v>18004</v>
      </c>
      <c r="K23" s="4">
        <v>0.55000000000000004</v>
      </c>
      <c r="L23" s="11">
        <v>0</v>
      </c>
    </row>
    <row r="24" spans="1:12" x14ac:dyDescent="0.25">
      <c r="A24" s="11">
        <v>2</v>
      </c>
      <c r="B24" s="12" t="s">
        <v>30</v>
      </c>
      <c r="C24" s="12">
        <v>249</v>
      </c>
      <c r="D24" s="12">
        <v>2008</v>
      </c>
      <c r="E24" s="12" t="s">
        <v>6</v>
      </c>
      <c r="F24" s="5">
        <v>9</v>
      </c>
      <c r="G24" s="4" t="s">
        <v>56</v>
      </c>
      <c r="H24" s="4" t="s">
        <v>40</v>
      </c>
      <c r="I24" s="11">
        <v>-3.5000000000000003E-2</v>
      </c>
      <c r="J24" s="4">
        <v>18004</v>
      </c>
      <c r="K24" s="4">
        <v>0.51</v>
      </c>
      <c r="L24" s="11">
        <f>IF(E24="Bilanciato",2,3)</f>
        <v>2</v>
      </c>
    </row>
    <row r="25" spans="1:12" x14ac:dyDescent="0.25">
      <c r="A25" s="11">
        <v>2</v>
      </c>
      <c r="B25" s="12" t="s">
        <v>30</v>
      </c>
      <c r="C25" s="12">
        <v>240</v>
      </c>
      <c r="D25" s="12">
        <v>2008</v>
      </c>
      <c r="E25" s="12" t="s">
        <v>15</v>
      </c>
      <c r="F25" s="5">
        <v>9</v>
      </c>
      <c r="G25" s="4" t="s">
        <v>56</v>
      </c>
      <c r="H25" s="4" t="s">
        <v>40</v>
      </c>
      <c r="I25" s="11">
        <v>-0.10639999999999999</v>
      </c>
      <c r="J25" s="4">
        <v>18004</v>
      </c>
      <c r="K25" s="4">
        <v>0.49</v>
      </c>
      <c r="L25" s="11">
        <f>IF(E25="Bilanciato",2,3)</f>
        <v>3</v>
      </c>
    </row>
    <row r="26" spans="1:12" x14ac:dyDescent="0.25">
      <c r="A26" s="11">
        <v>2</v>
      </c>
      <c r="B26" s="12" t="s">
        <v>30</v>
      </c>
      <c r="C26" s="12">
        <v>81363</v>
      </c>
      <c r="D26" s="12">
        <v>2009</v>
      </c>
      <c r="E26" s="12" t="s">
        <v>29</v>
      </c>
      <c r="F26" s="5">
        <v>9</v>
      </c>
      <c r="G26" s="4" t="s">
        <v>56</v>
      </c>
      <c r="H26" s="4" t="s">
        <v>40</v>
      </c>
      <c r="I26" s="11">
        <v>0.12130000000000001</v>
      </c>
      <c r="J26" s="4">
        <v>19066</v>
      </c>
      <c r="K26" s="4">
        <v>0.47</v>
      </c>
      <c r="L26" s="11">
        <f t="shared" si="0"/>
        <v>1</v>
      </c>
    </row>
    <row r="27" spans="1:12" x14ac:dyDescent="0.25">
      <c r="A27" s="11">
        <v>2</v>
      </c>
      <c r="B27" s="12" t="s">
        <v>30</v>
      </c>
      <c r="C27" s="12">
        <f>88612-34988</f>
        <v>53624</v>
      </c>
      <c r="D27" s="12">
        <v>2009</v>
      </c>
      <c r="E27" s="12" t="s">
        <v>28</v>
      </c>
      <c r="F27" s="5">
        <v>9</v>
      </c>
      <c r="G27" s="4" t="s">
        <v>56</v>
      </c>
      <c r="H27" s="4" t="s">
        <v>40</v>
      </c>
      <c r="I27" s="11">
        <v>3.8699999999999998E-2</v>
      </c>
      <c r="J27" s="4">
        <v>19066</v>
      </c>
      <c r="K27" s="4">
        <v>0.55000000000000004</v>
      </c>
      <c r="L27" s="11">
        <v>0</v>
      </c>
    </row>
    <row r="28" spans="1:12" x14ac:dyDescent="0.25">
      <c r="A28" s="11">
        <v>2</v>
      </c>
      <c r="B28" s="12" t="s">
        <v>30</v>
      </c>
      <c r="C28" s="12">
        <v>716</v>
      </c>
      <c r="D28" s="12">
        <v>2009</v>
      </c>
      <c r="E28" s="12" t="s">
        <v>6</v>
      </c>
      <c r="F28" s="5">
        <v>9</v>
      </c>
      <c r="G28" s="4" t="s">
        <v>56</v>
      </c>
      <c r="H28" s="4" t="s">
        <v>40</v>
      </c>
      <c r="I28" s="11">
        <v>8.4699999999999998E-2</v>
      </c>
      <c r="J28" s="4">
        <v>19066</v>
      </c>
      <c r="K28" s="4">
        <v>0.51</v>
      </c>
      <c r="L28" s="11">
        <f>IF(E28="Bilanciato",2,3)</f>
        <v>2</v>
      </c>
    </row>
    <row r="29" spans="1:12" x14ac:dyDescent="0.25">
      <c r="A29" s="11">
        <v>2</v>
      </c>
      <c r="B29" s="12" t="s">
        <v>30</v>
      </c>
      <c r="C29" s="12">
        <v>571</v>
      </c>
      <c r="D29" s="12">
        <v>2009</v>
      </c>
      <c r="E29" s="12" t="s">
        <v>15</v>
      </c>
      <c r="F29" s="5">
        <v>9</v>
      </c>
      <c r="G29" s="4" t="s">
        <v>56</v>
      </c>
      <c r="H29" s="4" t="s">
        <v>40</v>
      </c>
      <c r="I29" s="11">
        <v>0.17929999999999999</v>
      </c>
      <c r="J29" s="4">
        <v>19066</v>
      </c>
      <c r="K29" s="4">
        <v>0.49</v>
      </c>
      <c r="L29" s="11">
        <f>IF(E29="Bilanciato",2,3)</f>
        <v>3</v>
      </c>
    </row>
    <row r="30" spans="1:12" x14ac:dyDescent="0.25">
      <c r="A30" s="11">
        <v>2</v>
      </c>
      <c r="B30" s="12" t="s">
        <v>30</v>
      </c>
      <c r="C30" s="12">
        <v>80602</v>
      </c>
      <c r="D30" s="12">
        <v>2010</v>
      </c>
      <c r="E30" s="12" t="s">
        <v>29</v>
      </c>
      <c r="F30" s="5">
        <v>9</v>
      </c>
      <c r="G30" s="4" t="s">
        <v>56</v>
      </c>
      <c r="H30" s="4" t="s">
        <v>40</v>
      </c>
      <c r="I30" s="11">
        <v>3.9100000000000003E-2</v>
      </c>
      <c r="J30" s="4">
        <v>20674</v>
      </c>
      <c r="K30" s="4">
        <v>0.47</v>
      </c>
      <c r="L30" s="11">
        <f t="shared" si="0"/>
        <v>1</v>
      </c>
    </row>
    <row r="31" spans="1:12" x14ac:dyDescent="0.25">
      <c r="A31" s="11">
        <v>2</v>
      </c>
      <c r="B31" s="12" t="s">
        <v>30</v>
      </c>
      <c r="C31" s="12">
        <f>92664-34988</f>
        <v>57676</v>
      </c>
      <c r="D31" s="12">
        <v>2010</v>
      </c>
      <c r="E31" s="12" t="s">
        <v>28</v>
      </c>
      <c r="F31" s="5">
        <v>9</v>
      </c>
      <c r="G31" s="4" t="s">
        <v>56</v>
      </c>
      <c r="H31" s="4" t="s">
        <v>40</v>
      </c>
      <c r="I31" s="11">
        <v>1.06E-2</v>
      </c>
      <c r="J31" s="4">
        <v>20674</v>
      </c>
      <c r="K31" s="4">
        <v>0.55000000000000004</v>
      </c>
      <c r="L31" s="11">
        <v>0</v>
      </c>
    </row>
    <row r="32" spans="1:12" x14ac:dyDescent="0.25">
      <c r="A32" s="11">
        <v>2</v>
      </c>
      <c r="B32" s="12" t="s">
        <v>30</v>
      </c>
      <c r="C32" s="12">
        <v>1054</v>
      </c>
      <c r="D32" s="12">
        <v>2010</v>
      </c>
      <c r="E32" s="12" t="s">
        <v>6</v>
      </c>
      <c r="F32" s="5">
        <v>9</v>
      </c>
      <c r="G32" s="4" t="s">
        <v>56</v>
      </c>
      <c r="H32" s="4" t="s">
        <v>40</v>
      </c>
      <c r="I32" s="11">
        <v>3.8600000000000002E-2</v>
      </c>
      <c r="J32" s="4">
        <v>20674</v>
      </c>
      <c r="K32" s="4">
        <v>0.51</v>
      </c>
      <c r="L32" s="11">
        <f>IF(E32="Bilanciato",2,3)</f>
        <v>2</v>
      </c>
    </row>
    <row r="33" spans="1:12" x14ac:dyDescent="0.25">
      <c r="A33" s="11">
        <v>2</v>
      </c>
      <c r="B33" s="12" t="s">
        <v>30</v>
      </c>
      <c r="C33" s="12">
        <v>965</v>
      </c>
      <c r="D33" s="12">
        <v>2010</v>
      </c>
      <c r="E33" s="12" t="s">
        <v>15</v>
      </c>
      <c r="F33" s="5">
        <v>9</v>
      </c>
      <c r="G33" s="4" t="s">
        <v>56</v>
      </c>
      <c r="H33" s="4" t="s">
        <v>40</v>
      </c>
      <c r="I33" s="11">
        <v>5.4300000000000001E-2</v>
      </c>
      <c r="J33" s="4">
        <v>20674</v>
      </c>
      <c r="K33" s="4">
        <v>0.49</v>
      </c>
      <c r="L33" s="11">
        <f>IF(E33="Bilanciato",2,3)</f>
        <v>3</v>
      </c>
    </row>
    <row r="34" spans="1:12" x14ac:dyDescent="0.25">
      <c r="A34" s="11">
        <v>2</v>
      </c>
      <c r="B34" s="12" t="s">
        <v>30</v>
      </c>
      <c r="C34" s="12">
        <v>66554</v>
      </c>
      <c r="D34" s="12">
        <v>2011</v>
      </c>
      <c r="E34" s="12" t="s">
        <v>28</v>
      </c>
      <c r="F34" s="5">
        <v>9</v>
      </c>
      <c r="G34" s="4" t="s">
        <v>56</v>
      </c>
      <c r="H34" s="4" t="s">
        <v>40</v>
      </c>
      <c r="I34" s="11">
        <v>9.7999999999999997E-3</v>
      </c>
      <c r="J34" s="4">
        <v>28901</v>
      </c>
      <c r="K34" s="4">
        <v>0.47</v>
      </c>
      <c r="L34" s="11">
        <v>0</v>
      </c>
    </row>
    <row r="35" spans="1:12" x14ac:dyDescent="0.25">
      <c r="A35" s="11">
        <v>2</v>
      </c>
      <c r="B35" s="12" t="s">
        <v>30</v>
      </c>
      <c r="C35" s="12">
        <v>88373</v>
      </c>
      <c r="D35" s="12">
        <v>2011</v>
      </c>
      <c r="E35" s="12" t="s">
        <v>29</v>
      </c>
      <c r="F35" s="5">
        <v>9</v>
      </c>
      <c r="G35" s="4" t="s">
        <v>56</v>
      </c>
      <c r="H35" s="4" t="s">
        <v>40</v>
      </c>
      <c r="I35" s="11">
        <v>-2.0999999999999999E-3</v>
      </c>
      <c r="J35" s="4">
        <v>28901</v>
      </c>
      <c r="K35" s="4">
        <v>0.55000000000000004</v>
      </c>
      <c r="L35" s="11">
        <f t="shared" si="0"/>
        <v>1</v>
      </c>
    </row>
    <row r="36" spans="1:12" x14ac:dyDescent="0.25">
      <c r="A36" s="11">
        <v>2</v>
      </c>
      <c r="B36" s="12" t="s">
        <v>30</v>
      </c>
      <c r="C36" s="12">
        <v>1397</v>
      </c>
      <c r="D36" s="12">
        <v>2011</v>
      </c>
      <c r="E36" s="12" t="s">
        <v>6</v>
      </c>
      <c r="F36" s="5">
        <v>9</v>
      </c>
      <c r="G36" s="4" t="s">
        <v>56</v>
      </c>
      <c r="H36" s="4" t="s">
        <v>40</v>
      </c>
      <c r="I36" s="11">
        <v>4.8999999999999998E-3</v>
      </c>
      <c r="J36" s="4">
        <v>28901</v>
      </c>
      <c r="K36" s="4">
        <v>0.51</v>
      </c>
      <c r="L36" s="11">
        <f>IF(E36="Bilanciato",2,3)</f>
        <v>2</v>
      </c>
    </row>
    <row r="37" spans="1:12" x14ac:dyDescent="0.25">
      <c r="A37" s="11">
        <v>2</v>
      </c>
      <c r="B37" s="12" t="s">
        <v>30</v>
      </c>
      <c r="C37" s="12">
        <v>1407</v>
      </c>
      <c r="D37" s="12">
        <v>2011</v>
      </c>
      <c r="E37" s="12" t="s">
        <v>15</v>
      </c>
      <c r="F37" s="5">
        <v>9</v>
      </c>
      <c r="G37" s="4" t="s">
        <v>56</v>
      </c>
      <c r="H37" s="4" t="s">
        <v>40</v>
      </c>
      <c r="I37" s="11">
        <v>-1.3100000000000001E-2</v>
      </c>
      <c r="J37" s="4">
        <v>28901</v>
      </c>
      <c r="K37" s="4">
        <v>0.49</v>
      </c>
      <c r="L37" s="11">
        <f>IF(E37="Bilanciato",2,3)</f>
        <v>3</v>
      </c>
    </row>
    <row r="38" spans="1:12" x14ac:dyDescent="0.25">
      <c r="A38" s="11">
        <v>3</v>
      </c>
      <c r="B38" s="12" t="s">
        <v>33</v>
      </c>
      <c r="C38" s="12">
        <v>90280</v>
      </c>
      <c r="D38" s="12">
        <v>2007</v>
      </c>
      <c r="E38" s="12" t="s">
        <v>6</v>
      </c>
      <c r="F38" s="3">
        <v>34</v>
      </c>
      <c r="G38" s="4" t="s">
        <v>58</v>
      </c>
      <c r="H38" s="4" t="s">
        <v>48</v>
      </c>
      <c r="I38" s="11">
        <v>-1.5900000000000001E-2</v>
      </c>
      <c r="J38" s="4">
        <v>8680</v>
      </c>
      <c r="K38" s="4">
        <v>0.31</v>
      </c>
      <c r="L38" s="11">
        <f>IF(E38="Bilanciato",2,3)</f>
        <v>2</v>
      </c>
    </row>
    <row r="39" spans="1:12" x14ac:dyDescent="0.25">
      <c r="A39" s="11">
        <v>3</v>
      </c>
      <c r="B39" s="12" t="s">
        <v>33</v>
      </c>
      <c r="C39" s="12">
        <f>9939-739</f>
        <v>9200</v>
      </c>
      <c r="D39" s="12">
        <v>2007</v>
      </c>
      <c r="E39" s="12" t="s">
        <v>28</v>
      </c>
      <c r="F39" s="5">
        <v>34</v>
      </c>
      <c r="G39" s="4" t="s">
        <v>58</v>
      </c>
      <c r="H39" s="4" t="s">
        <v>48</v>
      </c>
      <c r="I39" s="11">
        <v>1.5599999999999999E-2</v>
      </c>
      <c r="J39" s="4">
        <v>8680</v>
      </c>
      <c r="K39" s="4">
        <v>0.35</v>
      </c>
      <c r="L39" s="11">
        <v>0</v>
      </c>
    </row>
    <row r="40" spans="1:12" x14ac:dyDescent="0.25">
      <c r="A40" s="11">
        <v>3</v>
      </c>
      <c r="B40" s="12" t="s">
        <v>33</v>
      </c>
      <c r="C40" s="12">
        <v>7980</v>
      </c>
      <c r="D40" s="12">
        <v>2007</v>
      </c>
      <c r="E40" s="12" t="s">
        <v>29</v>
      </c>
      <c r="F40" s="5">
        <v>34</v>
      </c>
      <c r="G40" s="4" t="s">
        <v>58</v>
      </c>
      <c r="H40" s="4" t="s">
        <v>48</v>
      </c>
      <c r="I40" s="11">
        <v>0.02</v>
      </c>
      <c r="J40" s="4">
        <v>8680</v>
      </c>
      <c r="K40" s="4">
        <v>0.31</v>
      </c>
      <c r="L40" s="11">
        <f t="shared" si="0"/>
        <v>1</v>
      </c>
    </row>
    <row r="41" spans="1:12" x14ac:dyDescent="0.25">
      <c r="A41" s="11">
        <v>3</v>
      </c>
      <c r="B41" s="12" t="s">
        <v>33</v>
      </c>
      <c r="C41" s="12">
        <v>2781</v>
      </c>
      <c r="D41" s="12">
        <v>2007</v>
      </c>
      <c r="E41" s="12" t="s">
        <v>15</v>
      </c>
      <c r="F41" s="5">
        <v>34</v>
      </c>
      <c r="G41" s="4" t="s">
        <v>58</v>
      </c>
      <c r="H41" s="4" t="s">
        <v>48</v>
      </c>
      <c r="I41" s="11">
        <v>1.9800000000000002E-2</v>
      </c>
      <c r="J41" s="4">
        <v>8680</v>
      </c>
      <c r="K41" s="4">
        <v>0.48</v>
      </c>
      <c r="L41" s="11">
        <f>IF(E41="Bilanciato",2,3)</f>
        <v>3</v>
      </c>
    </row>
    <row r="42" spans="1:12" x14ac:dyDescent="0.25">
      <c r="A42" s="11">
        <v>3</v>
      </c>
      <c r="B42" s="12" t="s">
        <v>33</v>
      </c>
      <c r="C42" s="12">
        <v>92461</v>
      </c>
      <c r="D42" s="12">
        <v>2008</v>
      </c>
      <c r="E42" s="12" t="s">
        <v>6</v>
      </c>
      <c r="F42" s="5">
        <v>34</v>
      </c>
      <c r="G42" s="4" t="s">
        <v>58</v>
      </c>
      <c r="H42" s="4" t="s">
        <v>48</v>
      </c>
      <c r="I42" s="11">
        <v>-4.7300000000000002E-2</v>
      </c>
      <c r="J42" s="4">
        <v>8989</v>
      </c>
      <c r="K42" s="4">
        <v>0.31</v>
      </c>
      <c r="L42" s="11">
        <f>IF(E42="Bilanciato",2,3)</f>
        <v>2</v>
      </c>
    </row>
    <row r="43" spans="1:12" x14ac:dyDescent="0.25">
      <c r="A43" s="11">
        <v>3</v>
      </c>
      <c r="B43" s="12" t="s">
        <v>33</v>
      </c>
      <c r="C43" s="12">
        <f>10356-1159</f>
        <v>9197</v>
      </c>
      <c r="D43" s="12">
        <v>2008</v>
      </c>
      <c r="E43" s="12" t="s">
        <v>28</v>
      </c>
      <c r="F43" s="5">
        <v>34</v>
      </c>
      <c r="G43" s="4" t="s">
        <v>58</v>
      </c>
      <c r="H43" s="4" t="s">
        <v>48</v>
      </c>
      <c r="I43" s="11">
        <v>1.5599999999999999E-2</v>
      </c>
      <c r="J43" s="4">
        <v>8989</v>
      </c>
      <c r="K43" s="4">
        <v>0.35</v>
      </c>
      <c r="L43" s="11">
        <v>0</v>
      </c>
    </row>
    <row r="44" spans="1:12" x14ac:dyDescent="0.25">
      <c r="A44" s="11">
        <v>3</v>
      </c>
      <c r="B44" s="12" t="s">
        <v>33</v>
      </c>
      <c r="C44" s="12">
        <v>7282</v>
      </c>
      <c r="D44" s="12">
        <v>2008</v>
      </c>
      <c r="E44" s="12" t="s">
        <v>29</v>
      </c>
      <c r="F44" s="5">
        <v>34</v>
      </c>
      <c r="G44" s="4" t="s">
        <v>58</v>
      </c>
      <c r="H44" s="4" t="s">
        <v>48</v>
      </c>
      <c r="I44" s="11">
        <v>-3.04E-2</v>
      </c>
      <c r="J44" s="4">
        <v>8989</v>
      </c>
      <c r="K44" s="4">
        <v>0.31</v>
      </c>
      <c r="L44" s="11">
        <f t="shared" si="0"/>
        <v>1</v>
      </c>
    </row>
    <row r="45" spans="1:12" x14ac:dyDescent="0.25">
      <c r="A45" s="11">
        <v>3</v>
      </c>
      <c r="B45" s="12" t="s">
        <v>33</v>
      </c>
      <c r="C45" s="12">
        <v>2425</v>
      </c>
      <c r="D45" s="12">
        <v>2008</v>
      </c>
      <c r="E45" s="12" t="s">
        <v>15</v>
      </c>
      <c r="F45" s="5">
        <v>34</v>
      </c>
      <c r="G45" s="4" t="s">
        <v>58</v>
      </c>
      <c r="H45" s="4" t="s">
        <v>48</v>
      </c>
      <c r="I45" s="11">
        <v>-9.3700000000000006E-2</v>
      </c>
      <c r="J45" s="4">
        <v>8989</v>
      </c>
      <c r="K45" s="4">
        <v>0.48</v>
      </c>
      <c r="L45" s="11">
        <f>IF(E45="Bilanciato",2,3)</f>
        <v>3</v>
      </c>
    </row>
    <row r="46" spans="1:12" x14ac:dyDescent="0.25">
      <c r="A46" s="11">
        <v>3</v>
      </c>
      <c r="B46" s="12" t="s">
        <v>33</v>
      </c>
      <c r="C46" s="12">
        <v>90376</v>
      </c>
      <c r="D46" s="12">
        <v>2009</v>
      </c>
      <c r="E46" s="12" t="s">
        <v>6</v>
      </c>
      <c r="F46" s="5">
        <v>34</v>
      </c>
      <c r="G46" s="4" t="s">
        <v>58</v>
      </c>
      <c r="H46" s="4" t="s">
        <v>48</v>
      </c>
      <c r="I46" s="11">
        <v>7.6600000000000001E-2</v>
      </c>
      <c r="J46" s="4">
        <v>8944</v>
      </c>
      <c r="K46" s="4">
        <v>0.31</v>
      </c>
      <c r="L46" s="11">
        <f>IF(E46="Bilanciato",2,3)</f>
        <v>2</v>
      </c>
    </row>
    <row r="47" spans="1:12" x14ac:dyDescent="0.25">
      <c r="A47" s="11">
        <v>3</v>
      </c>
      <c r="B47" s="12" t="s">
        <v>33</v>
      </c>
      <c r="C47" s="12">
        <f>11428-1576</f>
        <v>9852</v>
      </c>
      <c r="D47" s="12">
        <v>2009</v>
      </c>
      <c r="E47" s="12" t="s">
        <v>28</v>
      </c>
      <c r="F47" s="5">
        <v>34</v>
      </c>
      <c r="G47" s="4" t="s">
        <v>58</v>
      </c>
      <c r="H47" s="4" t="s">
        <v>48</v>
      </c>
      <c r="I47" s="11">
        <v>6.54E-2</v>
      </c>
      <c r="J47" s="4">
        <v>8944</v>
      </c>
      <c r="K47" s="4">
        <v>0.35</v>
      </c>
      <c r="L47" s="11">
        <v>0</v>
      </c>
    </row>
    <row r="48" spans="1:12" x14ac:dyDescent="0.25">
      <c r="A48" s="11">
        <v>3</v>
      </c>
      <c r="B48" s="12" t="s">
        <v>33</v>
      </c>
      <c r="C48" s="12">
        <v>7474</v>
      </c>
      <c r="D48" s="12">
        <v>2009</v>
      </c>
      <c r="E48" s="12" t="s">
        <v>29</v>
      </c>
      <c r="F48" s="5">
        <v>34</v>
      </c>
      <c r="G48" s="4" t="s">
        <v>58</v>
      </c>
      <c r="H48" s="4" t="s">
        <v>48</v>
      </c>
      <c r="I48" s="11">
        <v>9.11E-2</v>
      </c>
      <c r="J48" s="4">
        <v>8944</v>
      </c>
      <c r="K48" s="4">
        <v>0.31</v>
      </c>
      <c r="L48" s="11">
        <f t="shared" si="0"/>
        <v>1</v>
      </c>
    </row>
    <row r="49" spans="1:12" x14ac:dyDescent="0.25">
      <c r="A49" s="11">
        <v>3</v>
      </c>
      <c r="B49" s="12" t="s">
        <v>33</v>
      </c>
      <c r="C49" s="12">
        <v>2514</v>
      </c>
      <c r="D49" s="12">
        <v>2009</v>
      </c>
      <c r="E49" s="12" t="s">
        <v>15</v>
      </c>
      <c r="F49" s="5">
        <v>34</v>
      </c>
      <c r="G49" s="4" t="s">
        <v>58</v>
      </c>
      <c r="H49" s="4" t="s">
        <v>48</v>
      </c>
      <c r="I49" s="11">
        <v>8.7400000000000005E-2</v>
      </c>
      <c r="J49" s="4">
        <v>8944</v>
      </c>
      <c r="K49" s="4">
        <v>0.48</v>
      </c>
      <c r="L49" s="11">
        <f>IF(E49="Bilanciato",2,3)</f>
        <v>3</v>
      </c>
    </row>
    <row r="50" spans="1:12" x14ac:dyDescent="0.25">
      <c r="A50" s="11">
        <v>3</v>
      </c>
      <c r="B50" s="12" t="s">
        <v>33</v>
      </c>
      <c r="C50" s="12">
        <v>88820</v>
      </c>
      <c r="D50" s="12">
        <v>2010</v>
      </c>
      <c r="E50" s="12" t="s">
        <v>6</v>
      </c>
      <c r="F50" s="5">
        <v>34</v>
      </c>
      <c r="G50" s="4" t="s">
        <v>58</v>
      </c>
      <c r="H50" s="4" t="s">
        <v>48</v>
      </c>
      <c r="I50" s="11">
        <v>3.2599999999999997E-2</v>
      </c>
      <c r="J50" s="4">
        <v>8944</v>
      </c>
      <c r="K50" s="4">
        <v>0.31</v>
      </c>
      <c r="L50" s="11">
        <f>IF(E50="Bilanciato",2,3)</f>
        <v>2</v>
      </c>
    </row>
    <row r="51" spans="1:12" x14ac:dyDescent="0.25">
      <c r="A51" s="11">
        <v>3</v>
      </c>
      <c r="B51" s="12" t="s">
        <v>33</v>
      </c>
      <c r="C51" s="12">
        <f>12222-1595</f>
        <v>10627</v>
      </c>
      <c r="D51" s="12">
        <v>2010</v>
      </c>
      <c r="E51" s="12" t="s">
        <v>28</v>
      </c>
      <c r="F51" s="5">
        <v>34</v>
      </c>
      <c r="G51" s="4" t="s">
        <v>58</v>
      </c>
      <c r="H51" s="4" t="s">
        <v>48</v>
      </c>
      <c r="I51" s="11">
        <v>6.8999999999999999E-3</v>
      </c>
      <c r="J51" s="4">
        <v>8944</v>
      </c>
      <c r="K51" s="4">
        <v>0.35</v>
      </c>
      <c r="L51" s="11">
        <v>0</v>
      </c>
    </row>
    <row r="52" spans="1:12" x14ac:dyDescent="0.25">
      <c r="A52" s="11">
        <v>3</v>
      </c>
      <c r="B52" s="12" t="s">
        <v>33</v>
      </c>
      <c r="C52" s="12">
        <v>8017</v>
      </c>
      <c r="D52" s="12">
        <v>2010</v>
      </c>
      <c r="E52" s="12" t="s">
        <v>29</v>
      </c>
      <c r="F52" s="5">
        <v>34</v>
      </c>
      <c r="G52" s="4" t="s">
        <v>58</v>
      </c>
      <c r="H52" s="4" t="s">
        <v>48</v>
      </c>
      <c r="I52" s="11">
        <v>3.5299999999999998E-2</v>
      </c>
      <c r="J52" s="4">
        <v>8944</v>
      </c>
      <c r="K52" s="4">
        <v>0.31</v>
      </c>
      <c r="L52" s="11">
        <f t="shared" si="0"/>
        <v>1</v>
      </c>
    </row>
    <row r="53" spans="1:12" x14ac:dyDescent="0.25">
      <c r="A53" s="11">
        <v>3</v>
      </c>
      <c r="B53" s="12" t="s">
        <v>33</v>
      </c>
      <c r="C53" s="12">
        <v>2648</v>
      </c>
      <c r="D53" s="12">
        <v>2010</v>
      </c>
      <c r="E53" s="12" t="s">
        <v>15</v>
      </c>
      <c r="F53" s="5">
        <v>34</v>
      </c>
      <c r="G53" s="4" t="s">
        <v>58</v>
      </c>
      <c r="H53" s="4" t="s">
        <v>48</v>
      </c>
      <c r="I53" s="11">
        <v>6.08E-2</v>
      </c>
      <c r="J53" s="4">
        <v>8944</v>
      </c>
      <c r="K53" s="4">
        <v>0.48</v>
      </c>
      <c r="L53" s="11">
        <f>IF(E53="Bilanciato",2,3)</f>
        <v>3</v>
      </c>
    </row>
    <row r="54" spans="1:12" x14ac:dyDescent="0.25">
      <c r="A54" s="11">
        <v>3</v>
      </c>
      <c r="B54" s="12" t="s">
        <v>33</v>
      </c>
      <c r="C54" s="12">
        <v>12205</v>
      </c>
      <c r="D54" s="12">
        <v>2011</v>
      </c>
      <c r="E54" s="12" t="s">
        <v>28</v>
      </c>
      <c r="F54" s="5">
        <v>34</v>
      </c>
      <c r="G54" s="4" t="s">
        <v>58</v>
      </c>
      <c r="H54" s="4" t="s">
        <v>48</v>
      </c>
      <c r="I54" s="11">
        <v>1.06E-2</v>
      </c>
      <c r="J54" s="4">
        <v>8574</v>
      </c>
      <c r="K54" s="4">
        <v>0.31</v>
      </c>
      <c r="L54" s="11">
        <v>0</v>
      </c>
    </row>
    <row r="55" spans="1:12" x14ac:dyDescent="0.25">
      <c r="A55" s="11">
        <v>3</v>
      </c>
      <c r="B55" s="12" t="s">
        <v>33</v>
      </c>
      <c r="C55" s="12">
        <v>8864</v>
      </c>
      <c r="D55" s="12">
        <v>2011</v>
      </c>
      <c r="E55" s="12" t="s">
        <v>29</v>
      </c>
      <c r="F55" s="5">
        <v>34</v>
      </c>
      <c r="G55" s="4" t="s">
        <v>58</v>
      </c>
      <c r="H55" s="4" t="s">
        <v>48</v>
      </c>
      <c r="I55" s="11">
        <v>2.75E-2</v>
      </c>
      <c r="J55" s="4">
        <v>8574</v>
      </c>
      <c r="K55" s="4">
        <v>0.35</v>
      </c>
      <c r="L55" s="11">
        <f t="shared" si="0"/>
        <v>1</v>
      </c>
    </row>
    <row r="56" spans="1:12" x14ac:dyDescent="0.25">
      <c r="A56" s="11">
        <v>3</v>
      </c>
      <c r="B56" s="12" t="s">
        <v>33</v>
      </c>
      <c r="C56" s="12">
        <v>87690</v>
      </c>
      <c r="D56" s="12">
        <v>2011</v>
      </c>
      <c r="E56" s="12" t="s">
        <v>6</v>
      </c>
      <c r="F56" s="5">
        <v>34</v>
      </c>
      <c r="G56" s="4" t="s">
        <v>58</v>
      </c>
      <c r="H56" s="4" t="s">
        <v>48</v>
      </c>
      <c r="I56" s="11">
        <v>-4.0000000000000002E-4</v>
      </c>
      <c r="J56" s="4">
        <v>8574</v>
      </c>
      <c r="K56" s="4">
        <v>0.31</v>
      </c>
      <c r="L56" s="11">
        <f>IF(E56="Bilanciato",2,3)</f>
        <v>2</v>
      </c>
    </row>
    <row r="57" spans="1:12" x14ac:dyDescent="0.25">
      <c r="A57" s="11">
        <v>3</v>
      </c>
      <c r="B57" s="12" t="s">
        <v>33</v>
      </c>
      <c r="C57" s="12">
        <v>2849</v>
      </c>
      <c r="D57" s="12">
        <v>2011</v>
      </c>
      <c r="E57" s="12" t="s">
        <v>15</v>
      </c>
      <c r="F57" s="5">
        <v>34</v>
      </c>
      <c r="G57" s="4" t="s">
        <v>58</v>
      </c>
      <c r="H57" s="4" t="s">
        <v>48</v>
      </c>
      <c r="I57" s="11">
        <v>-1.9800000000000002E-2</v>
      </c>
      <c r="J57" s="4">
        <v>8574</v>
      </c>
      <c r="K57" s="4">
        <v>0.48</v>
      </c>
      <c r="L57" s="11">
        <f>IF(E57="Bilanciato",2,3)</f>
        <v>3</v>
      </c>
    </row>
    <row r="58" spans="1:12" x14ac:dyDescent="0.25">
      <c r="A58" s="11">
        <v>4</v>
      </c>
      <c r="B58" s="12" t="s">
        <v>32</v>
      </c>
      <c r="C58" s="12">
        <v>25531</v>
      </c>
      <c r="D58" s="12">
        <v>2007</v>
      </c>
      <c r="E58" s="12" t="s">
        <v>6</v>
      </c>
      <c r="F58" s="3">
        <v>4</v>
      </c>
      <c r="G58" s="4" t="s">
        <v>59</v>
      </c>
      <c r="H58" s="4" t="s">
        <v>48</v>
      </c>
      <c r="I58" s="11">
        <v>1.8100000000000002E-2</v>
      </c>
      <c r="J58" s="4">
        <v>533</v>
      </c>
      <c r="K58" s="4">
        <v>0.47</v>
      </c>
      <c r="L58" s="11">
        <f>IF(E58="Bilanciato",2,3)</f>
        <v>2</v>
      </c>
    </row>
    <row r="59" spans="1:12" x14ac:dyDescent="0.25">
      <c r="A59" s="11">
        <v>4</v>
      </c>
      <c r="B59" s="12" t="s">
        <v>32</v>
      </c>
      <c r="C59" s="12">
        <f>824-364</f>
        <v>460</v>
      </c>
      <c r="D59" s="12">
        <v>2007</v>
      </c>
      <c r="E59" s="12" t="s">
        <v>28</v>
      </c>
      <c r="F59" s="5">
        <v>4</v>
      </c>
      <c r="G59" s="4" t="s">
        <v>59</v>
      </c>
      <c r="H59" s="4" t="s">
        <v>48</v>
      </c>
      <c r="I59" s="11">
        <v>4.0300000000000002E-2</v>
      </c>
      <c r="J59" s="4">
        <v>533</v>
      </c>
      <c r="K59" s="4">
        <v>0.8</v>
      </c>
      <c r="L59" s="11">
        <v>0</v>
      </c>
    </row>
    <row r="60" spans="1:12" x14ac:dyDescent="0.25">
      <c r="A60" s="11">
        <v>4</v>
      </c>
      <c r="B60" s="12" t="s">
        <v>32</v>
      </c>
      <c r="C60" s="12">
        <v>1260</v>
      </c>
      <c r="D60" s="12">
        <v>2007</v>
      </c>
      <c r="E60" s="12" t="s">
        <v>29</v>
      </c>
      <c r="F60" s="5">
        <v>4</v>
      </c>
      <c r="G60" s="4" t="s">
        <v>59</v>
      </c>
      <c r="H60" s="4" t="s">
        <v>48</v>
      </c>
      <c r="I60" s="11">
        <v>0.02</v>
      </c>
      <c r="J60" s="4">
        <v>533</v>
      </c>
      <c r="K60" s="4">
        <v>0.8</v>
      </c>
      <c r="L60" s="11">
        <f t="shared" si="0"/>
        <v>1</v>
      </c>
    </row>
    <row r="61" spans="1:12" x14ac:dyDescent="0.25">
      <c r="A61" s="11">
        <v>4</v>
      </c>
      <c r="B61" s="12" t="s">
        <v>32</v>
      </c>
      <c r="C61" s="12">
        <v>2019</v>
      </c>
      <c r="D61" s="12">
        <v>2007</v>
      </c>
      <c r="E61" s="12" t="s">
        <v>15</v>
      </c>
      <c r="F61" s="5">
        <v>4</v>
      </c>
      <c r="G61" s="4" t="s">
        <v>59</v>
      </c>
      <c r="H61" s="4" t="s">
        <v>48</v>
      </c>
      <c r="I61" s="11">
        <v>1.0999999999999999E-2</v>
      </c>
      <c r="J61" s="4">
        <v>533</v>
      </c>
      <c r="K61" s="4">
        <v>0.48</v>
      </c>
      <c r="L61" s="11">
        <f>IF(E61="Bilanciato",2,3)</f>
        <v>3</v>
      </c>
    </row>
    <row r="62" spans="1:12" x14ac:dyDescent="0.25">
      <c r="A62" s="11">
        <v>4</v>
      </c>
      <c r="B62" s="12" t="s">
        <v>32</v>
      </c>
      <c r="C62" s="12">
        <v>24840</v>
      </c>
      <c r="D62" s="12">
        <v>2008</v>
      </c>
      <c r="E62" s="12" t="s">
        <v>6</v>
      </c>
      <c r="F62" s="5">
        <v>4</v>
      </c>
      <c r="G62" s="4" t="s">
        <v>59</v>
      </c>
      <c r="H62" s="4" t="s">
        <v>48</v>
      </c>
      <c r="I62" s="11">
        <v>-7.4399999999999994E-2</v>
      </c>
      <c r="J62" s="4">
        <v>542</v>
      </c>
      <c r="K62" s="4">
        <v>0.47</v>
      </c>
      <c r="L62" s="11">
        <f>IF(E62="Bilanciato",2,3)</f>
        <v>2</v>
      </c>
    </row>
    <row r="63" spans="1:12" x14ac:dyDescent="0.25">
      <c r="A63" s="11">
        <v>4</v>
      </c>
      <c r="B63" s="12" t="s">
        <v>32</v>
      </c>
      <c r="C63" s="12">
        <f>1790-365</f>
        <v>1425</v>
      </c>
      <c r="D63" s="12">
        <v>2008</v>
      </c>
      <c r="E63" s="12" t="s">
        <v>28</v>
      </c>
      <c r="F63" s="5">
        <v>4</v>
      </c>
      <c r="G63" s="4" t="s">
        <v>59</v>
      </c>
      <c r="H63" s="4" t="s">
        <v>48</v>
      </c>
      <c r="I63" s="11">
        <v>2.3800000000000002E-2</v>
      </c>
      <c r="J63" s="4">
        <v>542</v>
      </c>
      <c r="K63" s="4">
        <v>0.8</v>
      </c>
      <c r="L63" s="11">
        <v>0</v>
      </c>
    </row>
    <row r="64" spans="1:12" x14ac:dyDescent="0.25">
      <c r="A64" s="11">
        <v>4</v>
      </c>
      <c r="B64" s="12" t="s">
        <v>32</v>
      </c>
      <c r="C64" s="12">
        <v>1473</v>
      </c>
      <c r="D64" s="12">
        <v>2008</v>
      </c>
      <c r="E64" s="12" t="s">
        <v>29</v>
      </c>
      <c r="F64" s="5">
        <v>4</v>
      </c>
      <c r="G64" s="4" t="s">
        <v>59</v>
      </c>
      <c r="H64" s="4" t="s">
        <v>48</v>
      </c>
      <c r="I64" s="11">
        <v>0.02</v>
      </c>
      <c r="J64" s="4">
        <v>542</v>
      </c>
      <c r="K64" s="4">
        <v>0.8</v>
      </c>
      <c r="L64" s="11">
        <f t="shared" ref="L64:L111" si="1">IF(E64="Prudente",1)</f>
        <v>1</v>
      </c>
    </row>
    <row r="65" spans="1:12" x14ac:dyDescent="0.25">
      <c r="A65" s="11">
        <v>4</v>
      </c>
      <c r="B65" s="12" t="s">
        <v>32</v>
      </c>
      <c r="C65" s="12">
        <v>2090</v>
      </c>
      <c r="D65" s="12">
        <v>2008</v>
      </c>
      <c r="E65" s="12" t="s">
        <v>15</v>
      </c>
      <c r="F65" s="5">
        <v>4</v>
      </c>
      <c r="G65" s="4" t="s">
        <v>59</v>
      </c>
      <c r="H65" s="4" t="s">
        <v>48</v>
      </c>
      <c r="I65" s="11">
        <v>-0.1721</v>
      </c>
      <c r="J65" s="4">
        <v>542</v>
      </c>
      <c r="K65" s="4">
        <v>0.48</v>
      </c>
      <c r="L65" s="11">
        <f>IF(E65="Bilanciato",2,3)</f>
        <v>3</v>
      </c>
    </row>
    <row r="66" spans="1:12" x14ac:dyDescent="0.25">
      <c r="A66" s="11">
        <v>4</v>
      </c>
      <c r="B66" s="12" t="s">
        <v>32</v>
      </c>
      <c r="C66" s="12">
        <v>24378</v>
      </c>
      <c r="D66" s="12">
        <v>2009</v>
      </c>
      <c r="E66" s="12" t="s">
        <v>6</v>
      </c>
      <c r="F66" s="5">
        <v>4</v>
      </c>
      <c r="G66" s="4" t="s">
        <v>59</v>
      </c>
      <c r="H66" s="4" t="s">
        <v>48</v>
      </c>
      <c r="I66" s="11">
        <v>9.1200000000000003E-2</v>
      </c>
      <c r="J66" s="4">
        <v>561</v>
      </c>
      <c r="K66" s="4">
        <v>0.47</v>
      </c>
      <c r="L66" s="11">
        <f>IF(E66="Bilanciato",2,3)</f>
        <v>2</v>
      </c>
    </row>
    <row r="67" spans="1:12" x14ac:dyDescent="0.25">
      <c r="A67" s="11">
        <v>4</v>
      </c>
      <c r="B67" s="12" t="s">
        <v>32</v>
      </c>
      <c r="C67" s="12">
        <f>2167-370</f>
        <v>1797</v>
      </c>
      <c r="D67" s="12">
        <v>2009</v>
      </c>
      <c r="E67" s="12" t="s">
        <v>28</v>
      </c>
      <c r="F67" s="5">
        <v>4</v>
      </c>
      <c r="G67" s="4" t="s">
        <v>59</v>
      </c>
      <c r="H67" s="4" t="s">
        <v>48</v>
      </c>
      <c r="I67" s="11">
        <v>7.4999999999999997E-3</v>
      </c>
      <c r="J67" s="4">
        <v>561</v>
      </c>
      <c r="K67" s="4">
        <v>0.8</v>
      </c>
      <c r="L67" s="11">
        <v>0</v>
      </c>
    </row>
    <row r="68" spans="1:12" x14ac:dyDescent="0.25">
      <c r="A68" s="11">
        <v>4</v>
      </c>
      <c r="B68" s="12" t="s">
        <v>32</v>
      </c>
      <c r="C68" s="12">
        <v>1658</v>
      </c>
      <c r="D68" s="12">
        <v>2009</v>
      </c>
      <c r="E68" s="12" t="s">
        <v>29</v>
      </c>
      <c r="F68" s="5">
        <v>4</v>
      </c>
      <c r="G68" s="4" t="s">
        <v>59</v>
      </c>
      <c r="H68" s="4" t="s">
        <v>48</v>
      </c>
      <c r="I68" s="11">
        <v>0.02</v>
      </c>
      <c r="J68" s="4">
        <v>561</v>
      </c>
      <c r="K68" s="4">
        <v>0.8</v>
      </c>
      <c r="L68" s="11">
        <f t="shared" si="1"/>
        <v>1</v>
      </c>
    </row>
    <row r="69" spans="1:12" x14ac:dyDescent="0.25">
      <c r="A69" s="11">
        <v>4</v>
      </c>
      <c r="B69" s="12" t="s">
        <v>32</v>
      </c>
      <c r="C69" s="12">
        <v>2132</v>
      </c>
      <c r="D69" s="12">
        <v>2009</v>
      </c>
      <c r="E69" s="12" t="s">
        <v>15</v>
      </c>
      <c r="F69" s="5">
        <v>4</v>
      </c>
      <c r="G69" s="4" t="s">
        <v>59</v>
      </c>
      <c r="H69" s="4" t="s">
        <v>48</v>
      </c>
      <c r="I69" s="11">
        <v>0.10970000000000001</v>
      </c>
      <c r="J69" s="4">
        <v>561</v>
      </c>
      <c r="K69" s="4">
        <v>0.48</v>
      </c>
      <c r="L69" s="11">
        <f>IF(E69="Bilanciato",2,3)</f>
        <v>3</v>
      </c>
    </row>
    <row r="70" spans="1:12" x14ac:dyDescent="0.25">
      <c r="A70" s="11">
        <v>4</v>
      </c>
      <c r="B70" s="12" t="s">
        <v>32</v>
      </c>
      <c r="C70" s="12">
        <v>24054</v>
      </c>
      <c r="D70" s="12">
        <v>2010</v>
      </c>
      <c r="E70" s="12" t="s">
        <v>6</v>
      </c>
      <c r="F70" s="5">
        <v>4</v>
      </c>
      <c r="G70" s="4" t="s">
        <v>59</v>
      </c>
      <c r="H70" s="4" t="s">
        <v>48</v>
      </c>
      <c r="I70" s="11">
        <v>4.8300000000000003E-2</v>
      </c>
      <c r="J70" s="4">
        <v>567</v>
      </c>
      <c r="K70" s="4">
        <v>0.47</v>
      </c>
      <c r="L70" s="11">
        <f>IF(E70="Bilanciato",2,3)</f>
        <v>2</v>
      </c>
    </row>
    <row r="71" spans="1:12" x14ac:dyDescent="0.25">
      <c r="A71" s="11">
        <v>4</v>
      </c>
      <c r="B71" s="12" t="s">
        <v>32</v>
      </c>
      <c r="C71" s="12">
        <f>2286-370</f>
        <v>1916</v>
      </c>
      <c r="D71" s="12">
        <v>2010</v>
      </c>
      <c r="E71" s="12" t="s">
        <v>28</v>
      </c>
      <c r="F71" s="5">
        <v>4</v>
      </c>
      <c r="G71" s="4" t="s">
        <v>59</v>
      </c>
      <c r="H71" s="4" t="s">
        <v>48</v>
      </c>
      <c r="I71" s="11">
        <v>4.7000000000000002E-3</v>
      </c>
      <c r="J71" s="4">
        <v>567</v>
      </c>
      <c r="K71" s="4">
        <v>0.8</v>
      </c>
      <c r="L71" s="11">
        <v>0</v>
      </c>
    </row>
    <row r="72" spans="1:12" x14ac:dyDescent="0.25">
      <c r="A72" s="11">
        <v>4</v>
      </c>
      <c r="B72" s="12" t="s">
        <v>32</v>
      </c>
      <c r="C72" s="12">
        <v>1708</v>
      </c>
      <c r="D72" s="12">
        <v>2010</v>
      </c>
      <c r="E72" s="12" t="s">
        <v>29</v>
      </c>
      <c r="F72" s="5">
        <v>4</v>
      </c>
      <c r="G72" s="4" t="s">
        <v>59</v>
      </c>
      <c r="H72" s="4" t="s">
        <v>48</v>
      </c>
      <c r="I72" s="11">
        <v>0.02</v>
      </c>
      <c r="J72" s="4">
        <v>567</v>
      </c>
      <c r="K72" s="4">
        <v>0.8</v>
      </c>
      <c r="L72" s="11">
        <f t="shared" si="1"/>
        <v>1</v>
      </c>
    </row>
    <row r="73" spans="1:12" x14ac:dyDescent="0.25">
      <c r="A73" s="11">
        <v>4</v>
      </c>
      <c r="B73" s="12" t="s">
        <v>32</v>
      </c>
      <c r="C73" s="12">
        <v>2144</v>
      </c>
      <c r="D73" s="12">
        <v>2010</v>
      </c>
      <c r="E73" s="12" t="s">
        <v>15</v>
      </c>
      <c r="F73" s="5">
        <v>4</v>
      </c>
      <c r="G73" s="4" t="s">
        <v>59</v>
      </c>
      <c r="H73" s="4" t="s">
        <v>48</v>
      </c>
      <c r="I73" s="11">
        <v>7.7899999999999997E-2</v>
      </c>
      <c r="J73" s="4">
        <v>567</v>
      </c>
      <c r="K73" s="4">
        <v>0.48</v>
      </c>
      <c r="L73" s="11">
        <f>IF(E73="Bilanciato",2,3)</f>
        <v>3</v>
      </c>
    </row>
    <row r="74" spans="1:12" x14ac:dyDescent="0.25">
      <c r="A74" s="11">
        <v>4</v>
      </c>
      <c r="B74" s="12" t="s">
        <v>32</v>
      </c>
      <c r="C74" s="12">
        <v>3470</v>
      </c>
      <c r="D74" s="12">
        <v>2011</v>
      </c>
      <c r="E74" s="12" t="s">
        <v>28</v>
      </c>
      <c r="F74" s="5">
        <v>4</v>
      </c>
      <c r="G74" s="4" t="s">
        <v>59</v>
      </c>
      <c r="H74" s="4" t="s">
        <v>48</v>
      </c>
      <c r="I74" s="11">
        <v>2.8899999999999999E-2</v>
      </c>
      <c r="J74" s="4">
        <v>550</v>
      </c>
      <c r="K74" s="4">
        <v>0.47</v>
      </c>
      <c r="L74" s="11">
        <v>0</v>
      </c>
    </row>
    <row r="75" spans="1:12" x14ac:dyDescent="0.25">
      <c r="A75" s="11">
        <v>4</v>
      </c>
      <c r="B75" s="12" t="s">
        <v>32</v>
      </c>
      <c r="C75" s="12">
        <v>1710</v>
      </c>
      <c r="D75" s="12">
        <v>2011</v>
      </c>
      <c r="E75" s="12" t="s">
        <v>29</v>
      </c>
      <c r="F75" s="5">
        <v>4</v>
      </c>
      <c r="G75" s="4" t="s">
        <v>59</v>
      </c>
      <c r="H75" s="4" t="s">
        <v>48</v>
      </c>
      <c r="I75" s="11">
        <v>0.02</v>
      </c>
      <c r="J75" s="4">
        <v>550</v>
      </c>
      <c r="K75" s="4">
        <v>0.8</v>
      </c>
      <c r="L75" s="11">
        <f t="shared" si="1"/>
        <v>1</v>
      </c>
    </row>
    <row r="76" spans="1:12" x14ac:dyDescent="0.25">
      <c r="A76" s="11">
        <v>4</v>
      </c>
      <c r="B76" s="12" t="s">
        <v>32</v>
      </c>
      <c r="C76" s="12">
        <v>23952</v>
      </c>
      <c r="D76" s="12">
        <v>2011</v>
      </c>
      <c r="E76" s="12" t="s">
        <v>6</v>
      </c>
      <c r="F76" s="5">
        <v>4</v>
      </c>
      <c r="G76" s="4" t="s">
        <v>59</v>
      </c>
      <c r="H76" s="4" t="s">
        <v>48</v>
      </c>
      <c r="I76" s="11">
        <v>1.3899999999999999E-2</v>
      </c>
      <c r="J76" s="4">
        <v>550</v>
      </c>
      <c r="K76" s="4">
        <v>0.8</v>
      </c>
      <c r="L76" s="11">
        <f>IF(E76="Bilanciato",2,3)</f>
        <v>2</v>
      </c>
    </row>
    <row r="77" spans="1:12" x14ac:dyDescent="0.25">
      <c r="A77" s="11">
        <v>4</v>
      </c>
      <c r="B77" s="12" t="s">
        <v>32</v>
      </c>
      <c r="C77" s="12">
        <v>2177</v>
      </c>
      <c r="D77" s="12">
        <v>2011</v>
      </c>
      <c r="E77" s="12" t="s">
        <v>15</v>
      </c>
      <c r="F77" s="5">
        <v>4</v>
      </c>
      <c r="G77" s="4" t="s">
        <v>59</v>
      </c>
      <c r="H77" s="4" t="s">
        <v>48</v>
      </c>
      <c r="I77" s="11">
        <v>-1.47E-2</v>
      </c>
      <c r="J77" s="4">
        <v>550</v>
      </c>
      <c r="K77" s="4">
        <v>0.48</v>
      </c>
      <c r="L77" s="11">
        <f>IF(E77="Bilanciato",2,3)</f>
        <v>3</v>
      </c>
    </row>
    <row r="78" spans="1:12" x14ac:dyDescent="0.25">
      <c r="A78" s="11">
        <v>5</v>
      </c>
      <c r="B78" s="12" t="s">
        <v>31</v>
      </c>
      <c r="C78" s="12">
        <v>63379</v>
      </c>
      <c r="D78" s="12">
        <v>2008</v>
      </c>
      <c r="E78" s="12" t="s">
        <v>6</v>
      </c>
      <c r="F78" s="5">
        <v>3</v>
      </c>
      <c r="G78" s="4" t="s">
        <v>64</v>
      </c>
      <c r="H78" s="4" t="s">
        <v>40</v>
      </c>
      <c r="I78" s="11">
        <v>-9.1600000000000001E-2</v>
      </c>
      <c r="J78" s="4">
        <v>4200</v>
      </c>
      <c r="K78" s="4">
        <v>0.43</v>
      </c>
      <c r="L78" s="11">
        <f>IF(E78="Bilanciato",2,3)</f>
        <v>2</v>
      </c>
    </row>
    <row r="79" spans="1:12" x14ac:dyDescent="0.25">
      <c r="A79" s="11">
        <v>5</v>
      </c>
      <c r="B79" s="12" t="s">
        <v>31</v>
      </c>
      <c r="C79" s="12">
        <f>5723-1588</f>
        <v>4135</v>
      </c>
      <c r="D79" s="12">
        <v>2008</v>
      </c>
      <c r="E79" s="12" t="s">
        <v>28</v>
      </c>
      <c r="F79" s="5">
        <v>3</v>
      </c>
      <c r="G79" s="4" t="s">
        <v>64</v>
      </c>
      <c r="H79" s="4" t="s">
        <v>40</v>
      </c>
      <c r="I79" s="11">
        <v>4.4699999999999997E-2</v>
      </c>
      <c r="J79" s="4">
        <v>4200</v>
      </c>
      <c r="K79" s="4">
        <v>0.44</v>
      </c>
      <c r="L79" s="11">
        <v>0</v>
      </c>
    </row>
    <row r="80" spans="1:12" x14ac:dyDescent="0.25">
      <c r="A80" s="11">
        <v>5</v>
      </c>
      <c r="B80" s="12" t="s">
        <v>31</v>
      </c>
      <c r="C80" s="12">
        <v>1658</v>
      </c>
      <c r="D80" s="12">
        <v>2008</v>
      </c>
      <c r="E80" s="12" t="s">
        <v>29</v>
      </c>
      <c r="F80" s="5">
        <v>3</v>
      </c>
      <c r="G80" s="4" t="s">
        <v>64</v>
      </c>
      <c r="H80" s="4" t="s">
        <v>40</v>
      </c>
      <c r="I80" s="11">
        <v>-3.0499999999999999E-2</v>
      </c>
      <c r="J80" s="4">
        <v>4200</v>
      </c>
      <c r="K80" s="4">
        <v>0.48</v>
      </c>
      <c r="L80" s="11">
        <f t="shared" si="1"/>
        <v>1</v>
      </c>
    </row>
    <row r="81" spans="1:12" x14ac:dyDescent="0.25">
      <c r="A81" s="11">
        <v>5</v>
      </c>
      <c r="B81" s="12" t="s">
        <v>31</v>
      </c>
      <c r="C81" s="12">
        <v>383</v>
      </c>
      <c r="D81" s="12">
        <v>2008</v>
      </c>
      <c r="E81" s="12" t="s">
        <v>15</v>
      </c>
      <c r="F81" s="5">
        <v>3</v>
      </c>
      <c r="G81" s="4" t="s">
        <v>64</v>
      </c>
      <c r="H81" s="4" t="s">
        <v>40</v>
      </c>
      <c r="I81" s="11">
        <v>-0.15490000000000001</v>
      </c>
      <c r="J81" s="4">
        <v>4200</v>
      </c>
      <c r="K81" s="4">
        <v>0.46</v>
      </c>
      <c r="L81" s="11">
        <f>IF(E81="Bilanciato",2,3)</f>
        <v>3</v>
      </c>
    </row>
    <row r="82" spans="1:12" x14ac:dyDescent="0.25">
      <c r="A82" s="11">
        <v>5</v>
      </c>
      <c r="B82" s="12" t="s">
        <v>31</v>
      </c>
      <c r="C82" s="12">
        <v>59010</v>
      </c>
      <c r="D82" s="12">
        <v>2009</v>
      </c>
      <c r="E82" s="12" t="s">
        <v>6</v>
      </c>
      <c r="F82" s="5">
        <v>3</v>
      </c>
      <c r="G82" s="4" t="s">
        <v>64</v>
      </c>
      <c r="H82" s="4" t="s">
        <v>40</v>
      </c>
      <c r="I82" s="11">
        <v>0.11459999999999999</v>
      </c>
      <c r="J82" s="4">
        <v>4176</v>
      </c>
      <c r="K82" s="4">
        <v>0.43</v>
      </c>
      <c r="L82" s="11">
        <f>IF(E82="Bilanciato",2,3)</f>
        <v>2</v>
      </c>
    </row>
    <row r="83" spans="1:12" x14ac:dyDescent="0.25">
      <c r="A83" s="11">
        <v>5</v>
      </c>
      <c r="B83" s="12" t="s">
        <v>31</v>
      </c>
      <c r="C83" s="12">
        <f>7386-1550</f>
        <v>5836</v>
      </c>
      <c r="D83" s="12">
        <v>2009</v>
      </c>
      <c r="E83" s="12" t="s">
        <v>28</v>
      </c>
      <c r="F83" s="5">
        <v>3</v>
      </c>
      <c r="G83" s="4" t="s">
        <v>64</v>
      </c>
      <c r="H83" s="4" t="s">
        <v>40</v>
      </c>
      <c r="I83" s="11">
        <v>3.4500000000000003E-2</v>
      </c>
      <c r="J83" s="4">
        <v>4176</v>
      </c>
      <c r="K83" s="4">
        <v>0.44</v>
      </c>
      <c r="L83" s="11">
        <v>0</v>
      </c>
    </row>
    <row r="84" spans="1:12" x14ac:dyDescent="0.25">
      <c r="A84" s="11">
        <v>5</v>
      </c>
      <c r="B84" s="12" t="s">
        <v>31</v>
      </c>
      <c r="C84" s="12">
        <v>1793</v>
      </c>
      <c r="D84" s="12">
        <v>2009</v>
      </c>
      <c r="E84" s="12" t="s">
        <v>29</v>
      </c>
      <c r="F84" s="5">
        <v>3</v>
      </c>
      <c r="G84" s="4" t="s">
        <v>64</v>
      </c>
      <c r="H84" s="4" t="s">
        <v>40</v>
      </c>
      <c r="I84" s="11">
        <v>8.2400000000000001E-2</v>
      </c>
      <c r="J84" s="4">
        <v>4176</v>
      </c>
      <c r="K84" s="4">
        <v>0.48</v>
      </c>
      <c r="L84" s="11">
        <f t="shared" si="1"/>
        <v>1</v>
      </c>
    </row>
    <row r="85" spans="1:12" x14ac:dyDescent="0.25">
      <c r="A85" s="11">
        <v>5</v>
      </c>
      <c r="B85" s="12" t="s">
        <v>31</v>
      </c>
      <c r="C85" s="12">
        <v>475</v>
      </c>
      <c r="D85" s="12">
        <v>2009</v>
      </c>
      <c r="E85" s="12" t="s">
        <v>15</v>
      </c>
      <c r="F85" s="5">
        <v>3</v>
      </c>
      <c r="G85" s="4" t="s">
        <v>64</v>
      </c>
      <c r="H85" s="4" t="s">
        <v>40</v>
      </c>
      <c r="I85" s="11">
        <v>0.16450000000000001</v>
      </c>
      <c r="J85" s="4">
        <v>4176</v>
      </c>
      <c r="K85" s="4">
        <v>0.46</v>
      </c>
      <c r="L85" s="11">
        <f>IF(E85="Bilanciato",2,3)</f>
        <v>3</v>
      </c>
    </row>
    <row r="86" spans="1:12" x14ac:dyDescent="0.25">
      <c r="A86" s="11">
        <v>5</v>
      </c>
      <c r="B86" s="12" t="s">
        <v>31</v>
      </c>
      <c r="C86" s="12">
        <v>53193</v>
      </c>
      <c r="D86" s="12">
        <v>2010</v>
      </c>
      <c r="E86" s="12" t="s">
        <v>6</v>
      </c>
      <c r="F86" s="5">
        <v>3</v>
      </c>
      <c r="G86" s="4" t="s">
        <v>64</v>
      </c>
      <c r="H86" s="4" t="s">
        <v>40</v>
      </c>
      <c r="I86" s="11">
        <v>4.9599999999999998E-2</v>
      </c>
      <c r="J86" s="4">
        <v>4157</v>
      </c>
      <c r="K86" s="4">
        <v>0.43</v>
      </c>
      <c r="L86" s="11">
        <f>IF(E86="Bilanciato",2,3)</f>
        <v>2</v>
      </c>
    </row>
    <row r="87" spans="1:12" x14ac:dyDescent="0.25">
      <c r="A87" s="11">
        <v>5</v>
      </c>
      <c r="B87" s="12" t="s">
        <v>31</v>
      </c>
      <c r="C87" s="12">
        <f>7527-1448</f>
        <v>6079</v>
      </c>
      <c r="D87" s="12">
        <v>2010</v>
      </c>
      <c r="E87" s="12" t="s">
        <v>28</v>
      </c>
      <c r="F87" s="5">
        <v>3</v>
      </c>
      <c r="G87" s="4" t="s">
        <v>64</v>
      </c>
      <c r="H87" s="4" t="s">
        <v>40</v>
      </c>
      <c r="I87" s="11">
        <v>1.14E-2</v>
      </c>
      <c r="J87" s="4">
        <v>4157</v>
      </c>
      <c r="K87" s="4">
        <v>0.44</v>
      </c>
      <c r="L87" s="11">
        <v>0</v>
      </c>
    </row>
    <row r="88" spans="1:12" x14ac:dyDescent="0.25">
      <c r="A88" s="11">
        <v>5</v>
      </c>
      <c r="B88" s="12" t="s">
        <v>31</v>
      </c>
      <c r="C88" s="12">
        <v>1984</v>
      </c>
      <c r="D88" s="12">
        <v>2010</v>
      </c>
      <c r="E88" s="12" t="s">
        <v>29</v>
      </c>
      <c r="F88" s="5">
        <v>3</v>
      </c>
      <c r="G88" s="4" t="s">
        <v>64</v>
      </c>
      <c r="H88" s="4" t="s">
        <v>40</v>
      </c>
      <c r="I88" s="11">
        <v>2.75E-2</v>
      </c>
      <c r="J88" s="4">
        <v>4157</v>
      </c>
      <c r="K88" s="4">
        <v>0.48</v>
      </c>
      <c r="L88" s="11">
        <f t="shared" si="1"/>
        <v>1</v>
      </c>
    </row>
    <row r="89" spans="1:12" x14ac:dyDescent="0.25">
      <c r="A89" s="11">
        <v>5</v>
      </c>
      <c r="B89" s="12" t="s">
        <v>31</v>
      </c>
      <c r="C89" s="12">
        <v>579</v>
      </c>
      <c r="D89" s="12">
        <v>2010</v>
      </c>
      <c r="E89" s="12" t="s">
        <v>15</v>
      </c>
      <c r="F89" s="5">
        <v>3</v>
      </c>
      <c r="G89" s="4" t="s">
        <v>64</v>
      </c>
      <c r="H89" s="4" t="s">
        <v>40</v>
      </c>
      <c r="I89" s="11">
        <v>6.7400000000000002E-2</v>
      </c>
      <c r="J89" s="4">
        <v>4157</v>
      </c>
      <c r="K89" s="4">
        <v>0.46</v>
      </c>
      <c r="L89" s="11">
        <f>IF(E89="Bilanciato",2,3)</f>
        <v>3</v>
      </c>
    </row>
    <row r="90" spans="1:12" x14ac:dyDescent="0.25">
      <c r="A90" s="11">
        <v>5</v>
      </c>
      <c r="B90" s="12" t="s">
        <v>31</v>
      </c>
      <c r="C90" s="12">
        <v>50247</v>
      </c>
      <c r="D90" s="12">
        <v>2011</v>
      </c>
      <c r="E90" s="12" t="s">
        <v>6</v>
      </c>
      <c r="F90" s="5">
        <v>3</v>
      </c>
      <c r="G90" s="4" t="s">
        <v>64</v>
      </c>
      <c r="H90" s="4" t="s">
        <v>40</v>
      </c>
      <c r="I90" s="11">
        <v>-9.9000000000000008E-3</v>
      </c>
      <c r="J90" s="4">
        <v>4147</v>
      </c>
      <c r="K90" s="4">
        <v>0.43</v>
      </c>
      <c r="L90" s="11">
        <f>IF(E90="Bilanciato",2,3)</f>
        <v>2</v>
      </c>
    </row>
    <row r="91" spans="1:12" x14ac:dyDescent="0.25">
      <c r="A91" s="11">
        <v>5</v>
      </c>
      <c r="B91" s="12" t="s">
        <v>31</v>
      </c>
      <c r="C91" s="12">
        <v>6039</v>
      </c>
      <c r="D91" s="12">
        <v>2011</v>
      </c>
      <c r="E91" s="12" t="s">
        <v>28</v>
      </c>
      <c r="F91" s="5">
        <v>3</v>
      </c>
      <c r="G91" s="4" t="s">
        <v>64</v>
      </c>
      <c r="H91" s="4" t="s">
        <v>40</v>
      </c>
      <c r="I91" s="11">
        <v>5.7999999999999996E-3</v>
      </c>
      <c r="J91" s="4">
        <v>4147</v>
      </c>
      <c r="K91" s="4">
        <v>0.44</v>
      </c>
      <c r="L91" s="11">
        <v>0</v>
      </c>
    </row>
    <row r="92" spans="1:12" x14ac:dyDescent="0.25">
      <c r="A92" s="11">
        <v>5</v>
      </c>
      <c r="B92" s="12" t="s">
        <v>31</v>
      </c>
      <c r="C92" s="11">
        <v>2112</v>
      </c>
      <c r="D92" s="12">
        <v>2011</v>
      </c>
      <c r="E92" s="12" t="s">
        <v>29</v>
      </c>
      <c r="F92" s="5">
        <v>3</v>
      </c>
      <c r="G92" s="4" t="s">
        <v>64</v>
      </c>
      <c r="H92" s="4" t="s">
        <v>40</v>
      </c>
      <c r="I92" s="11">
        <v>-5.9999999999999995E-4</v>
      </c>
      <c r="J92" s="4">
        <v>4147</v>
      </c>
      <c r="K92" s="4">
        <v>0.48</v>
      </c>
      <c r="L92" s="11">
        <f t="shared" si="1"/>
        <v>1</v>
      </c>
    </row>
    <row r="93" spans="1:12" x14ac:dyDescent="0.25">
      <c r="A93" s="11">
        <v>5</v>
      </c>
      <c r="B93" s="12" t="s">
        <v>31</v>
      </c>
      <c r="C93" s="11">
        <v>651</v>
      </c>
      <c r="D93" s="12">
        <v>2011</v>
      </c>
      <c r="E93" s="12" t="s">
        <v>15</v>
      </c>
      <c r="F93" s="5">
        <v>3</v>
      </c>
      <c r="G93" s="4" t="s">
        <v>64</v>
      </c>
      <c r="H93" s="4" t="s">
        <v>40</v>
      </c>
      <c r="I93" s="11">
        <v>-1.8100000000000002E-2</v>
      </c>
      <c r="J93" s="4">
        <v>4147</v>
      </c>
      <c r="K93" s="4">
        <v>0.46</v>
      </c>
      <c r="L93" s="11">
        <f>IF(E93="Bilanciato",2,3)</f>
        <v>3</v>
      </c>
    </row>
    <row r="94" spans="1:12" x14ac:dyDescent="0.25">
      <c r="A94" s="11">
        <v>6</v>
      </c>
      <c r="B94" s="12" t="s">
        <v>81</v>
      </c>
      <c r="C94" s="11">
        <v>617</v>
      </c>
      <c r="D94" s="12">
        <v>2007</v>
      </c>
      <c r="E94" s="12" t="s">
        <v>28</v>
      </c>
      <c r="F94" s="5">
        <v>2</v>
      </c>
      <c r="G94" s="4" t="s">
        <v>58</v>
      </c>
      <c r="H94" s="4" t="s">
        <v>48</v>
      </c>
      <c r="I94" s="11">
        <v>2.5000000000000001E-2</v>
      </c>
      <c r="J94" s="4">
        <v>4803</v>
      </c>
      <c r="K94" s="4">
        <v>0.56000000000000005</v>
      </c>
      <c r="L94" s="11">
        <v>0</v>
      </c>
    </row>
    <row r="95" spans="1:12" x14ac:dyDescent="0.25">
      <c r="A95" s="11">
        <v>6</v>
      </c>
      <c r="B95" s="12" t="s">
        <v>81</v>
      </c>
      <c r="C95" s="11">
        <v>12189</v>
      </c>
      <c r="D95" s="12">
        <v>2007</v>
      </c>
      <c r="E95" s="12" t="s">
        <v>29</v>
      </c>
      <c r="F95" s="5">
        <v>2</v>
      </c>
      <c r="G95" s="4" t="s">
        <v>58</v>
      </c>
      <c r="H95" s="4" t="s">
        <v>48</v>
      </c>
      <c r="I95" s="11">
        <v>6.6E-3</v>
      </c>
      <c r="J95" s="4">
        <v>4803</v>
      </c>
      <c r="K95" s="4">
        <v>0.27</v>
      </c>
      <c r="L95" s="11">
        <f t="shared" si="1"/>
        <v>1</v>
      </c>
    </row>
    <row r="96" spans="1:12" x14ac:dyDescent="0.25">
      <c r="A96" s="11">
        <v>6</v>
      </c>
      <c r="B96" s="12" t="s">
        <v>81</v>
      </c>
      <c r="C96" s="11">
        <v>25792</v>
      </c>
      <c r="D96" s="12">
        <v>2007</v>
      </c>
      <c r="E96" s="12" t="s">
        <v>6</v>
      </c>
      <c r="F96" s="5">
        <v>2</v>
      </c>
      <c r="G96" s="4" t="s">
        <v>58</v>
      </c>
      <c r="H96" s="4" t="s">
        <v>48</v>
      </c>
      <c r="I96" s="11">
        <v>8.5000000000000006E-3</v>
      </c>
      <c r="J96" s="4">
        <v>4803</v>
      </c>
      <c r="K96" s="4">
        <v>0.27</v>
      </c>
      <c r="L96" s="11">
        <f>IF(E96="Bilanciato",2,3)</f>
        <v>2</v>
      </c>
    </row>
    <row r="97" spans="1:12" x14ac:dyDescent="0.25">
      <c r="A97" s="11">
        <v>6</v>
      </c>
      <c r="B97" s="12" t="s">
        <v>81</v>
      </c>
      <c r="C97" s="11">
        <v>5594</v>
      </c>
      <c r="D97" s="12">
        <v>2007</v>
      </c>
      <c r="E97" s="12" t="s">
        <v>15</v>
      </c>
      <c r="F97" s="5">
        <v>2</v>
      </c>
      <c r="G97" s="4" t="s">
        <v>58</v>
      </c>
      <c r="H97" s="4" t="s">
        <v>48</v>
      </c>
      <c r="I97" s="11">
        <v>-3.2000000000000002E-3</v>
      </c>
      <c r="J97" s="4">
        <v>4803</v>
      </c>
      <c r="K97" s="4">
        <v>0.35</v>
      </c>
      <c r="L97" s="11">
        <f>IF(E97="Bilanciato",2,3)</f>
        <v>3</v>
      </c>
    </row>
    <row r="98" spans="1:12" x14ac:dyDescent="0.25">
      <c r="A98" s="11">
        <v>6</v>
      </c>
      <c r="B98" s="12" t="s">
        <v>81</v>
      </c>
      <c r="C98" s="11">
        <v>1637</v>
      </c>
      <c r="D98" s="12">
        <v>2008</v>
      </c>
      <c r="E98" s="12" t="s">
        <v>28</v>
      </c>
      <c r="F98" s="5">
        <v>2</v>
      </c>
      <c r="G98" s="4" t="s">
        <v>58</v>
      </c>
      <c r="H98" s="4" t="s">
        <v>48</v>
      </c>
      <c r="I98" s="11">
        <v>3.09E-2</v>
      </c>
      <c r="J98" s="4">
        <v>5943</v>
      </c>
      <c r="K98" s="4">
        <v>0.56000000000000005</v>
      </c>
      <c r="L98" s="11">
        <v>0</v>
      </c>
    </row>
    <row r="99" spans="1:12" x14ac:dyDescent="0.25">
      <c r="A99" s="11">
        <v>6</v>
      </c>
      <c r="B99" s="12" t="s">
        <v>81</v>
      </c>
      <c r="C99" s="11">
        <v>12238</v>
      </c>
      <c r="D99" s="12">
        <v>2008</v>
      </c>
      <c r="E99" s="12" t="s">
        <v>29</v>
      </c>
      <c r="F99" s="5">
        <v>2</v>
      </c>
      <c r="G99" s="4" t="s">
        <v>58</v>
      </c>
      <c r="H99" s="4" t="s">
        <v>48</v>
      </c>
      <c r="I99" s="11">
        <v>3.73E-2</v>
      </c>
      <c r="J99" s="4">
        <v>5943</v>
      </c>
      <c r="K99" s="4">
        <v>0.27</v>
      </c>
      <c r="L99" s="11">
        <f t="shared" si="1"/>
        <v>1</v>
      </c>
    </row>
    <row r="100" spans="1:12" x14ac:dyDescent="0.25">
      <c r="A100" s="11">
        <v>6</v>
      </c>
      <c r="B100" s="12" t="s">
        <v>81</v>
      </c>
      <c r="C100" s="11">
        <v>26239</v>
      </c>
      <c r="D100" s="12">
        <v>2008</v>
      </c>
      <c r="E100" s="12" t="s">
        <v>6</v>
      </c>
      <c r="F100" s="5">
        <v>2</v>
      </c>
      <c r="G100" s="4" t="s">
        <v>58</v>
      </c>
      <c r="H100" s="4" t="s">
        <v>48</v>
      </c>
      <c r="I100" s="11">
        <v>-5.16E-2</v>
      </c>
      <c r="J100" s="4">
        <v>5943</v>
      </c>
      <c r="K100" s="4">
        <v>0.27</v>
      </c>
      <c r="L100" s="11">
        <f>IF(E100="Bilanciato",2,3)</f>
        <v>2</v>
      </c>
    </row>
    <row r="101" spans="1:12" x14ac:dyDescent="0.25">
      <c r="A101" s="11">
        <v>6</v>
      </c>
      <c r="B101" s="12" t="s">
        <v>81</v>
      </c>
      <c r="C101" s="11">
        <v>5182</v>
      </c>
      <c r="D101" s="12">
        <v>2008</v>
      </c>
      <c r="E101" s="12" t="s">
        <v>15</v>
      </c>
      <c r="F101" s="5">
        <v>2</v>
      </c>
      <c r="G101" s="4" t="s">
        <v>58</v>
      </c>
      <c r="H101" s="4" t="s">
        <v>48</v>
      </c>
      <c r="I101" s="11">
        <v>-0.14680000000000001</v>
      </c>
      <c r="J101" s="4">
        <v>5943</v>
      </c>
      <c r="K101" s="4">
        <v>0.35</v>
      </c>
      <c r="L101" s="11">
        <f>IF(E101="Bilanciato",2,3)</f>
        <v>3</v>
      </c>
    </row>
    <row r="102" spans="1:12" x14ac:dyDescent="0.25">
      <c r="A102" s="11">
        <v>6</v>
      </c>
      <c r="B102" s="12" t="s">
        <v>81</v>
      </c>
      <c r="C102" s="11">
        <v>2148</v>
      </c>
      <c r="D102" s="12">
        <v>2009</v>
      </c>
      <c r="E102" s="12" t="s">
        <v>28</v>
      </c>
      <c r="F102" s="5">
        <v>2</v>
      </c>
      <c r="G102" s="4" t="s">
        <v>58</v>
      </c>
      <c r="H102" s="4" t="s">
        <v>48</v>
      </c>
      <c r="I102" s="11">
        <v>5.2299999999999999E-2</v>
      </c>
      <c r="J102" s="4">
        <v>5663</v>
      </c>
      <c r="K102" s="4">
        <v>0.56000000000000005</v>
      </c>
      <c r="L102" s="11">
        <v>0</v>
      </c>
    </row>
    <row r="103" spans="1:12" x14ac:dyDescent="0.25">
      <c r="A103" s="11">
        <v>6</v>
      </c>
      <c r="B103" s="12" t="s">
        <v>81</v>
      </c>
      <c r="C103" s="11">
        <v>12582</v>
      </c>
      <c r="D103" s="12">
        <v>2009</v>
      </c>
      <c r="E103" s="12" t="s">
        <v>29</v>
      </c>
      <c r="F103" s="5">
        <v>2</v>
      </c>
      <c r="G103" s="4" t="s">
        <v>58</v>
      </c>
      <c r="H103" s="4" t="s">
        <v>48</v>
      </c>
      <c r="I103" s="11">
        <v>5.0799999999999998E-2</v>
      </c>
      <c r="J103" s="4">
        <v>5663</v>
      </c>
      <c r="K103" s="4">
        <v>0.27</v>
      </c>
      <c r="L103" s="11">
        <f t="shared" si="1"/>
        <v>1</v>
      </c>
    </row>
    <row r="104" spans="1:12" x14ac:dyDescent="0.25">
      <c r="A104" s="11">
        <v>6</v>
      </c>
      <c r="B104" s="12" t="s">
        <v>81</v>
      </c>
      <c r="C104" s="11">
        <v>25403</v>
      </c>
      <c r="D104" s="12">
        <v>2009</v>
      </c>
      <c r="E104" s="12" t="s">
        <v>6</v>
      </c>
      <c r="F104" s="5">
        <v>2</v>
      </c>
      <c r="G104" s="4" t="s">
        <v>58</v>
      </c>
      <c r="H104" s="4" t="s">
        <v>48</v>
      </c>
      <c r="I104" s="11">
        <v>8.77E-2</v>
      </c>
      <c r="J104" s="4">
        <v>5663</v>
      </c>
      <c r="K104" s="4">
        <v>0.27</v>
      </c>
      <c r="L104" s="11">
        <f>IF(E104="Bilanciato",2,3)</f>
        <v>2</v>
      </c>
    </row>
    <row r="105" spans="1:12" x14ac:dyDescent="0.25">
      <c r="A105" s="11">
        <v>6</v>
      </c>
      <c r="B105" s="12" t="s">
        <v>81</v>
      </c>
      <c r="C105" s="11">
        <v>5071</v>
      </c>
      <c r="D105" s="12">
        <v>2009</v>
      </c>
      <c r="E105" s="12" t="s">
        <v>15</v>
      </c>
      <c r="F105" s="5">
        <v>2</v>
      </c>
      <c r="G105" s="4" t="s">
        <v>58</v>
      </c>
      <c r="H105" s="4" t="s">
        <v>48</v>
      </c>
      <c r="I105" s="11">
        <v>0.13009999999999999</v>
      </c>
      <c r="J105" s="4">
        <v>5663</v>
      </c>
      <c r="K105" s="4">
        <v>0.35</v>
      </c>
      <c r="L105" s="11">
        <f>IF(E105="Bilanciato",2,3)</f>
        <v>3</v>
      </c>
    </row>
    <row r="106" spans="1:12" x14ac:dyDescent="0.25">
      <c r="A106" s="11">
        <v>6</v>
      </c>
      <c r="B106" s="12" t="s">
        <v>81</v>
      </c>
      <c r="C106" s="11">
        <v>2793</v>
      </c>
      <c r="D106" s="12">
        <v>2010</v>
      </c>
      <c r="E106" s="12" t="s">
        <v>28</v>
      </c>
      <c r="F106" s="5">
        <v>2</v>
      </c>
      <c r="G106" s="4" t="s">
        <v>58</v>
      </c>
      <c r="H106" s="4" t="s">
        <v>48</v>
      </c>
      <c r="I106" s="11">
        <v>-2.2000000000000001E-3</v>
      </c>
      <c r="J106" s="4">
        <v>5949</v>
      </c>
      <c r="K106" s="4">
        <v>0.56000000000000005</v>
      </c>
      <c r="L106" s="11">
        <v>0</v>
      </c>
    </row>
    <row r="107" spans="1:12" x14ac:dyDescent="0.25">
      <c r="A107" s="11">
        <v>6</v>
      </c>
      <c r="B107" s="12" t="s">
        <v>81</v>
      </c>
      <c r="C107" s="11">
        <v>12517</v>
      </c>
      <c r="D107" s="12">
        <v>2010</v>
      </c>
      <c r="E107" s="12" t="s">
        <v>29</v>
      </c>
      <c r="F107" s="5">
        <v>2</v>
      </c>
      <c r="G107" s="4" t="s">
        <v>58</v>
      </c>
      <c r="H107" s="4" t="s">
        <v>48</v>
      </c>
      <c r="I107" s="11">
        <v>1.2500000000000001E-2</v>
      </c>
      <c r="J107" s="4">
        <v>5949</v>
      </c>
      <c r="K107" s="4">
        <v>0.27</v>
      </c>
      <c r="L107" s="11">
        <f t="shared" si="1"/>
        <v>1</v>
      </c>
    </row>
    <row r="108" spans="1:12" x14ac:dyDescent="0.25">
      <c r="A108" s="11">
        <v>6</v>
      </c>
      <c r="B108" s="12" t="s">
        <v>81</v>
      </c>
      <c r="C108" s="11">
        <v>25300</v>
      </c>
      <c r="D108" s="12">
        <v>2010</v>
      </c>
      <c r="E108" s="12" t="s">
        <v>6</v>
      </c>
      <c r="F108" s="5">
        <v>2</v>
      </c>
      <c r="G108" s="4" t="s">
        <v>58</v>
      </c>
      <c r="H108" s="4" t="s">
        <v>48</v>
      </c>
      <c r="I108" s="11">
        <v>-4.7999999999999996E-3</v>
      </c>
      <c r="J108" s="4">
        <v>5949</v>
      </c>
      <c r="K108" s="4">
        <v>0.27</v>
      </c>
      <c r="L108" s="11">
        <f>IF(E108="Bilanciato",2,3)</f>
        <v>2</v>
      </c>
    </row>
    <row r="109" spans="1:12" x14ac:dyDescent="0.25">
      <c r="A109" s="11">
        <v>6</v>
      </c>
      <c r="B109" s="12" t="s">
        <v>81</v>
      </c>
      <c r="C109" s="11">
        <v>5153</v>
      </c>
      <c r="D109" s="12">
        <v>2010</v>
      </c>
      <c r="E109" s="12" t="s">
        <v>15</v>
      </c>
      <c r="F109" s="5">
        <v>2</v>
      </c>
      <c r="G109" s="4" t="s">
        <v>58</v>
      </c>
      <c r="H109" s="4" t="s">
        <v>48</v>
      </c>
      <c r="I109" s="11">
        <v>9.5299999999999996E-2</v>
      </c>
      <c r="J109" s="4">
        <v>5949</v>
      </c>
      <c r="K109" s="4">
        <v>0.35</v>
      </c>
      <c r="L109" s="11">
        <f>IF(E109="Bilanciato",2,3)</f>
        <v>3</v>
      </c>
    </row>
    <row r="110" spans="1:12" x14ac:dyDescent="0.25">
      <c r="A110" s="11">
        <v>6</v>
      </c>
      <c r="B110" s="12" t="s">
        <v>81</v>
      </c>
      <c r="C110" s="11">
        <v>4166</v>
      </c>
      <c r="D110" s="12">
        <v>2011</v>
      </c>
      <c r="E110" s="12" t="s">
        <v>28</v>
      </c>
      <c r="F110" s="5">
        <v>2</v>
      </c>
      <c r="G110" s="4" t="s">
        <v>58</v>
      </c>
      <c r="H110" s="4" t="s">
        <v>48</v>
      </c>
      <c r="I110" s="11">
        <v>-8.9999999999999998E-4</v>
      </c>
      <c r="J110" s="4">
        <v>5537</v>
      </c>
      <c r="K110" s="4">
        <v>0.56000000000000005</v>
      </c>
      <c r="L110" s="11">
        <v>0</v>
      </c>
    </row>
    <row r="111" spans="1:12" x14ac:dyDescent="0.25">
      <c r="A111" s="11">
        <v>6</v>
      </c>
      <c r="B111" s="12" t="s">
        <v>81</v>
      </c>
      <c r="C111" s="11">
        <v>12226</v>
      </c>
      <c r="D111" s="12">
        <v>2011</v>
      </c>
      <c r="E111" s="12" t="s">
        <v>29</v>
      </c>
      <c r="F111" s="5">
        <v>2</v>
      </c>
      <c r="G111" s="4" t="s">
        <v>58</v>
      </c>
      <c r="H111" s="4" t="s">
        <v>48</v>
      </c>
      <c r="I111" s="11">
        <v>1.1900000000000001E-2</v>
      </c>
      <c r="J111" s="4">
        <v>5537</v>
      </c>
      <c r="K111" s="4">
        <v>0.27</v>
      </c>
      <c r="L111" s="11">
        <f t="shared" si="1"/>
        <v>1</v>
      </c>
    </row>
    <row r="112" spans="1:12" x14ac:dyDescent="0.25">
      <c r="A112" s="11">
        <v>6</v>
      </c>
      <c r="B112" s="12" t="s">
        <v>81</v>
      </c>
      <c r="C112" s="11">
        <v>24852</v>
      </c>
      <c r="D112" s="12">
        <v>2011</v>
      </c>
      <c r="E112" s="12" t="s">
        <v>6</v>
      </c>
      <c r="F112" s="5">
        <v>2</v>
      </c>
      <c r="G112" s="4" t="s">
        <v>58</v>
      </c>
      <c r="H112" s="4" t="s">
        <v>48</v>
      </c>
      <c r="I112" s="11">
        <v>-6.0000000000000001E-3</v>
      </c>
      <c r="J112" s="4">
        <v>5537</v>
      </c>
      <c r="K112" s="4">
        <v>0.27</v>
      </c>
      <c r="L112" s="11">
        <f>IF(E112="Bilanciato",2,3)</f>
        <v>2</v>
      </c>
    </row>
    <row r="113" spans="1:12" x14ac:dyDescent="0.25">
      <c r="A113" s="11">
        <v>6</v>
      </c>
      <c r="B113" s="12" t="s">
        <v>81</v>
      </c>
      <c r="C113" s="11">
        <v>5360</v>
      </c>
      <c r="D113" s="12">
        <v>2011</v>
      </c>
      <c r="E113" s="12" t="s">
        <v>15</v>
      </c>
      <c r="F113" s="5">
        <v>2</v>
      </c>
      <c r="G113" s="4" t="s">
        <v>58</v>
      </c>
      <c r="H113" s="4" t="s">
        <v>48</v>
      </c>
      <c r="I113" s="11">
        <v>-2.7000000000000001E-3</v>
      </c>
      <c r="J113" s="4">
        <v>5537</v>
      </c>
      <c r="K113" s="4">
        <v>0.35</v>
      </c>
      <c r="L113" s="11">
        <f>IF(E113="Bilanciato",2,3)</f>
        <v>3</v>
      </c>
    </row>
  </sheetData>
  <sortState ref="B2:H101">
    <sortCondition ref="B2:B101"/>
    <sortCondition ref="D2:D101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2"/>
  <sheetViews>
    <sheetView topLeftCell="B1" workbookViewId="0">
      <selection activeCell="S5" sqref="S5:S9"/>
    </sheetView>
  </sheetViews>
  <sheetFormatPr defaultRowHeight="15" x14ac:dyDescent="0.25"/>
  <cols>
    <col min="1" max="1" width="9.140625" style="11"/>
    <col min="2" max="2" width="12.7109375" style="11" customWidth="1"/>
    <col min="3" max="3" width="13.7109375" style="11" customWidth="1"/>
    <col min="4" max="4" width="9.140625" style="11"/>
    <col min="5" max="5" width="21.5703125" style="11" customWidth="1"/>
    <col min="6" max="7" width="9.140625" style="11"/>
    <col min="8" max="8" width="18.85546875" style="11" customWidth="1"/>
    <col min="9" max="12" width="9.140625" style="11"/>
    <col min="14" max="14" width="19" customWidth="1"/>
    <col min="16" max="16" width="13.42578125" customWidth="1"/>
    <col min="19" max="19" width="9.7109375" bestFit="1" customWidth="1"/>
    <col min="258" max="258" width="12.7109375" customWidth="1"/>
    <col min="259" max="259" width="13.7109375" customWidth="1"/>
    <col min="261" max="261" width="21.5703125" customWidth="1"/>
    <col min="514" max="514" width="12.7109375" customWidth="1"/>
    <col min="515" max="515" width="13.7109375" customWidth="1"/>
    <col min="517" max="517" width="21.5703125" customWidth="1"/>
    <col min="770" max="770" width="12.7109375" customWidth="1"/>
    <col min="771" max="771" width="13.7109375" customWidth="1"/>
    <col min="773" max="773" width="21.5703125" customWidth="1"/>
    <col min="1026" max="1026" width="12.7109375" customWidth="1"/>
    <col min="1027" max="1027" width="13.7109375" customWidth="1"/>
    <col min="1029" max="1029" width="21.5703125" customWidth="1"/>
    <col min="1282" max="1282" width="12.7109375" customWidth="1"/>
    <col min="1283" max="1283" width="13.7109375" customWidth="1"/>
    <col min="1285" max="1285" width="21.5703125" customWidth="1"/>
    <col min="1538" max="1538" width="12.7109375" customWidth="1"/>
    <col min="1539" max="1539" width="13.7109375" customWidth="1"/>
    <col min="1541" max="1541" width="21.5703125" customWidth="1"/>
    <col min="1794" max="1794" width="12.7109375" customWidth="1"/>
    <col min="1795" max="1795" width="13.7109375" customWidth="1"/>
    <col min="1797" max="1797" width="21.5703125" customWidth="1"/>
    <col min="2050" max="2050" width="12.7109375" customWidth="1"/>
    <col min="2051" max="2051" width="13.7109375" customWidth="1"/>
    <col min="2053" max="2053" width="21.5703125" customWidth="1"/>
    <col min="2306" max="2306" width="12.7109375" customWidth="1"/>
    <col min="2307" max="2307" width="13.7109375" customWidth="1"/>
    <col min="2309" max="2309" width="21.5703125" customWidth="1"/>
    <col min="2562" max="2562" width="12.7109375" customWidth="1"/>
    <col min="2563" max="2563" width="13.7109375" customWidth="1"/>
    <col min="2565" max="2565" width="21.5703125" customWidth="1"/>
    <col min="2818" max="2818" width="12.7109375" customWidth="1"/>
    <col min="2819" max="2819" width="13.7109375" customWidth="1"/>
    <col min="2821" max="2821" width="21.5703125" customWidth="1"/>
    <col min="3074" max="3074" width="12.7109375" customWidth="1"/>
    <col min="3075" max="3075" width="13.7109375" customWidth="1"/>
    <col min="3077" max="3077" width="21.5703125" customWidth="1"/>
    <col min="3330" max="3330" width="12.7109375" customWidth="1"/>
    <col min="3331" max="3331" width="13.7109375" customWidth="1"/>
    <col min="3333" max="3333" width="21.5703125" customWidth="1"/>
    <col min="3586" max="3586" width="12.7109375" customWidth="1"/>
    <col min="3587" max="3587" width="13.7109375" customWidth="1"/>
    <col min="3589" max="3589" width="21.5703125" customWidth="1"/>
    <col min="3842" max="3842" width="12.7109375" customWidth="1"/>
    <col min="3843" max="3843" width="13.7109375" customWidth="1"/>
    <col min="3845" max="3845" width="21.5703125" customWidth="1"/>
    <col min="4098" max="4098" width="12.7109375" customWidth="1"/>
    <col min="4099" max="4099" width="13.7109375" customWidth="1"/>
    <col min="4101" max="4101" width="21.5703125" customWidth="1"/>
    <col min="4354" max="4354" width="12.7109375" customWidth="1"/>
    <col min="4355" max="4355" width="13.7109375" customWidth="1"/>
    <col min="4357" max="4357" width="21.5703125" customWidth="1"/>
    <col min="4610" max="4610" width="12.7109375" customWidth="1"/>
    <col min="4611" max="4611" width="13.7109375" customWidth="1"/>
    <col min="4613" max="4613" width="21.5703125" customWidth="1"/>
    <col min="4866" max="4866" width="12.7109375" customWidth="1"/>
    <col min="4867" max="4867" width="13.7109375" customWidth="1"/>
    <col min="4869" max="4869" width="21.5703125" customWidth="1"/>
    <col min="5122" max="5122" width="12.7109375" customWidth="1"/>
    <col min="5123" max="5123" width="13.7109375" customWidth="1"/>
    <col min="5125" max="5125" width="21.5703125" customWidth="1"/>
    <col min="5378" max="5378" width="12.7109375" customWidth="1"/>
    <col min="5379" max="5379" width="13.7109375" customWidth="1"/>
    <col min="5381" max="5381" width="21.5703125" customWidth="1"/>
    <col min="5634" max="5634" width="12.7109375" customWidth="1"/>
    <col min="5635" max="5635" width="13.7109375" customWidth="1"/>
    <col min="5637" max="5637" width="21.5703125" customWidth="1"/>
    <col min="5890" max="5890" width="12.7109375" customWidth="1"/>
    <col min="5891" max="5891" width="13.7109375" customWidth="1"/>
    <col min="5893" max="5893" width="21.5703125" customWidth="1"/>
    <col min="6146" max="6146" width="12.7109375" customWidth="1"/>
    <col min="6147" max="6147" width="13.7109375" customWidth="1"/>
    <col min="6149" max="6149" width="21.5703125" customWidth="1"/>
    <col min="6402" max="6402" width="12.7109375" customWidth="1"/>
    <col min="6403" max="6403" width="13.7109375" customWidth="1"/>
    <col min="6405" max="6405" width="21.5703125" customWidth="1"/>
    <col min="6658" max="6658" width="12.7109375" customWidth="1"/>
    <col min="6659" max="6659" width="13.7109375" customWidth="1"/>
    <col min="6661" max="6661" width="21.5703125" customWidth="1"/>
    <col min="6914" max="6914" width="12.7109375" customWidth="1"/>
    <col min="6915" max="6915" width="13.7109375" customWidth="1"/>
    <col min="6917" max="6917" width="21.5703125" customWidth="1"/>
    <col min="7170" max="7170" width="12.7109375" customWidth="1"/>
    <col min="7171" max="7171" width="13.7109375" customWidth="1"/>
    <col min="7173" max="7173" width="21.5703125" customWidth="1"/>
    <col min="7426" max="7426" width="12.7109375" customWidth="1"/>
    <col min="7427" max="7427" width="13.7109375" customWidth="1"/>
    <col min="7429" max="7429" width="21.5703125" customWidth="1"/>
    <col min="7682" max="7682" width="12.7109375" customWidth="1"/>
    <col min="7683" max="7683" width="13.7109375" customWidth="1"/>
    <col min="7685" max="7685" width="21.5703125" customWidth="1"/>
    <col min="7938" max="7938" width="12.7109375" customWidth="1"/>
    <col min="7939" max="7939" width="13.7109375" customWidth="1"/>
    <col min="7941" max="7941" width="21.5703125" customWidth="1"/>
    <col min="8194" max="8194" width="12.7109375" customWidth="1"/>
    <col min="8195" max="8195" width="13.7109375" customWidth="1"/>
    <col min="8197" max="8197" width="21.5703125" customWidth="1"/>
    <col min="8450" max="8450" width="12.7109375" customWidth="1"/>
    <col min="8451" max="8451" width="13.7109375" customWidth="1"/>
    <col min="8453" max="8453" width="21.5703125" customWidth="1"/>
    <col min="8706" max="8706" width="12.7109375" customWidth="1"/>
    <col min="8707" max="8707" width="13.7109375" customWidth="1"/>
    <col min="8709" max="8709" width="21.5703125" customWidth="1"/>
    <col min="8962" max="8962" width="12.7109375" customWidth="1"/>
    <col min="8963" max="8963" width="13.7109375" customWidth="1"/>
    <col min="8965" max="8965" width="21.5703125" customWidth="1"/>
    <col min="9218" max="9218" width="12.7109375" customWidth="1"/>
    <col min="9219" max="9219" width="13.7109375" customWidth="1"/>
    <col min="9221" max="9221" width="21.5703125" customWidth="1"/>
    <col min="9474" max="9474" width="12.7109375" customWidth="1"/>
    <col min="9475" max="9475" width="13.7109375" customWidth="1"/>
    <col min="9477" max="9477" width="21.5703125" customWidth="1"/>
    <col min="9730" max="9730" width="12.7109375" customWidth="1"/>
    <col min="9731" max="9731" width="13.7109375" customWidth="1"/>
    <col min="9733" max="9733" width="21.5703125" customWidth="1"/>
    <col min="9986" max="9986" width="12.7109375" customWidth="1"/>
    <col min="9987" max="9987" width="13.7109375" customWidth="1"/>
    <col min="9989" max="9989" width="21.5703125" customWidth="1"/>
    <col min="10242" max="10242" width="12.7109375" customWidth="1"/>
    <col min="10243" max="10243" width="13.7109375" customWidth="1"/>
    <col min="10245" max="10245" width="21.5703125" customWidth="1"/>
    <col min="10498" max="10498" width="12.7109375" customWidth="1"/>
    <col min="10499" max="10499" width="13.7109375" customWidth="1"/>
    <col min="10501" max="10501" width="21.5703125" customWidth="1"/>
    <col min="10754" max="10754" width="12.7109375" customWidth="1"/>
    <col min="10755" max="10755" width="13.7109375" customWidth="1"/>
    <col min="10757" max="10757" width="21.5703125" customWidth="1"/>
    <col min="11010" max="11010" width="12.7109375" customWidth="1"/>
    <col min="11011" max="11011" width="13.7109375" customWidth="1"/>
    <col min="11013" max="11013" width="21.5703125" customWidth="1"/>
    <col min="11266" max="11266" width="12.7109375" customWidth="1"/>
    <col min="11267" max="11267" width="13.7109375" customWidth="1"/>
    <col min="11269" max="11269" width="21.5703125" customWidth="1"/>
    <col min="11522" max="11522" width="12.7109375" customWidth="1"/>
    <col min="11523" max="11523" width="13.7109375" customWidth="1"/>
    <col min="11525" max="11525" width="21.5703125" customWidth="1"/>
    <col min="11778" max="11778" width="12.7109375" customWidth="1"/>
    <col min="11779" max="11779" width="13.7109375" customWidth="1"/>
    <col min="11781" max="11781" width="21.5703125" customWidth="1"/>
    <col min="12034" max="12034" width="12.7109375" customWidth="1"/>
    <col min="12035" max="12035" width="13.7109375" customWidth="1"/>
    <col min="12037" max="12037" width="21.5703125" customWidth="1"/>
    <col min="12290" max="12290" width="12.7109375" customWidth="1"/>
    <col min="12291" max="12291" width="13.7109375" customWidth="1"/>
    <col min="12293" max="12293" width="21.5703125" customWidth="1"/>
    <col min="12546" max="12546" width="12.7109375" customWidth="1"/>
    <col min="12547" max="12547" width="13.7109375" customWidth="1"/>
    <col min="12549" max="12549" width="21.5703125" customWidth="1"/>
    <col min="12802" max="12802" width="12.7109375" customWidth="1"/>
    <col min="12803" max="12803" width="13.7109375" customWidth="1"/>
    <col min="12805" max="12805" width="21.5703125" customWidth="1"/>
    <col min="13058" max="13058" width="12.7109375" customWidth="1"/>
    <col min="13059" max="13059" width="13.7109375" customWidth="1"/>
    <col min="13061" max="13061" width="21.5703125" customWidth="1"/>
    <col min="13314" max="13314" width="12.7109375" customWidth="1"/>
    <col min="13315" max="13315" width="13.7109375" customWidth="1"/>
    <col min="13317" max="13317" width="21.5703125" customWidth="1"/>
    <col min="13570" max="13570" width="12.7109375" customWidth="1"/>
    <col min="13571" max="13571" width="13.7109375" customWidth="1"/>
    <col min="13573" max="13573" width="21.5703125" customWidth="1"/>
    <col min="13826" max="13826" width="12.7109375" customWidth="1"/>
    <col min="13827" max="13827" width="13.7109375" customWidth="1"/>
    <col min="13829" max="13829" width="21.5703125" customWidth="1"/>
    <col min="14082" max="14082" width="12.7109375" customWidth="1"/>
    <col min="14083" max="14083" width="13.7109375" customWidth="1"/>
    <col min="14085" max="14085" width="21.5703125" customWidth="1"/>
    <col min="14338" max="14338" width="12.7109375" customWidth="1"/>
    <col min="14339" max="14339" width="13.7109375" customWidth="1"/>
    <col min="14341" max="14341" width="21.5703125" customWidth="1"/>
    <col min="14594" max="14594" width="12.7109375" customWidth="1"/>
    <col min="14595" max="14595" width="13.7109375" customWidth="1"/>
    <col min="14597" max="14597" width="21.5703125" customWidth="1"/>
    <col min="14850" max="14850" width="12.7109375" customWidth="1"/>
    <col min="14851" max="14851" width="13.7109375" customWidth="1"/>
    <col min="14853" max="14853" width="21.5703125" customWidth="1"/>
    <col min="15106" max="15106" width="12.7109375" customWidth="1"/>
    <col min="15107" max="15107" width="13.7109375" customWidth="1"/>
    <col min="15109" max="15109" width="21.5703125" customWidth="1"/>
    <col min="15362" max="15362" width="12.7109375" customWidth="1"/>
    <col min="15363" max="15363" width="13.7109375" customWidth="1"/>
    <col min="15365" max="15365" width="21.5703125" customWidth="1"/>
    <col min="15618" max="15618" width="12.7109375" customWidth="1"/>
    <col min="15619" max="15619" width="13.7109375" customWidth="1"/>
    <col min="15621" max="15621" width="21.5703125" customWidth="1"/>
    <col min="15874" max="15874" width="12.7109375" customWidth="1"/>
    <col min="15875" max="15875" width="13.7109375" customWidth="1"/>
    <col min="15877" max="15877" width="21.5703125" customWidth="1"/>
    <col min="16130" max="16130" width="12.7109375" customWidth="1"/>
    <col min="16131" max="16131" width="13.7109375" customWidth="1"/>
    <col min="16133" max="16133" width="21.5703125" customWidth="1"/>
  </cols>
  <sheetData>
    <row r="1" spans="1:19" s="6" customFormat="1" x14ac:dyDescent="0.25">
      <c r="A1" s="9" t="s">
        <v>75</v>
      </c>
      <c r="B1" s="10" t="s">
        <v>0</v>
      </c>
      <c r="C1" s="10" t="s">
        <v>1</v>
      </c>
      <c r="D1" s="10" t="s">
        <v>26</v>
      </c>
      <c r="E1" s="10" t="s">
        <v>2</v>
      </c>
      <c r="F1" s="10" t="s">
        <v>70</v>
      </c>
      <c r="G1" s="10" t="s">
        <v>37</v>
      </c>
      <c r="H1" s="10" t="s">
        <v>38</v>
      </c>
      <c r="I1" s="10" t="s">
        <v>73</v>
      </c>
      <c r="J1" s="9" t="s">
        <v>74</v>
      </c>
      <c r="K1" s="9" t="s">
        <v>76</v>
      </c>
      <c r="L1" s="9" t="s">
        <v>82</v>
      </c>
    </row>
    <row r="2" spans="1:19" x14ac:dyDescent="0.25">
      <c r="A2" s="11">
        <v>1</v>
      </c>
      <c r="B2" s="12" t="s">
        <v>36</v>
      </c>
      <c r="C2" s="11">
        <f>286-61</f>
        <v>225</v>
      </c>
      <c r="D2" s="12">
        <v>2007</v>
      </c>
      <c r="E2" s="12" t="s">
        <v>5</v>
      </c>
      <c r="F2" s="3">
        <v>12</v>
      </c>
      <c r="G2" s="4" t="s">
        <v>52</v>
      </c>
      <c r="H2" s="4" t="s">
        <v>43</v>
      </c>
      <c r="I2" s="11">
        <v>1.55E-2</v>
      </c>
      <c r="J2" s="4">
        <v>7</v>
      </c>
      <c r="K2" s="4">
        <v>1</v>
      </c>
      <c r="L2" s="4">
        <v>0</v>
      </c>
    </row>
    <row r="3" spans="1:19" x14ac:dyDescent="0.25">
      <c r="A3" s="11">
        <v>1</v>
      </c>
      <c r="B3" s="12" t="s">
        <v>36</v>
      </c>
      <c r="C3" s="11">
        <v>376</v>
      </c>
      <c r="D3" s="12">
        <v>2007</v>
      </c>
      <c r="E3" s="12" t="s">
        <v>35</v>
      </c>
      <c r="F3" s="5">
        <v>12</v>
      </c>
      <c r="G3" s="4" t="s">
        <v>52</v>
      </c>
      <c r="H3" s="4" t="s">
        <v>43</v>
      </c>
      <c r="I3" s="11">
        <v>9.9000000000000008E-3</v>
      </c>
      <c r="J3" s="4">
        <v>7</v>
      </c>
      <c r="K3" s="4">
        <v>1.01</v>
      </c>
      <c r="L3" s="4">
        <v>1</v>
      </c>
    </row>
    <row r="4" spans="1:19" x14ac:dyDescent="0.25">
      <c r="A4" s="11">
        <v>1</v>
      </c>
      <c r="B4" s="12" t="s">
        <v>36</v>
      </c>
      <c r="C4" s="11">
        <v>1319</v>
      </c>
      <c r="D4" s="12">
        <v>2007</v>
      </c>
      <c r="E4" s="12" t="s">
        <v>29</v>
      </c>
      <c r="F4" s="5">
        <v>12</v>
      </c>
      <c r="G4" s="4" t="s">
        <v>52</v>
      </c>
      <c r="H4" s="4" t="s">
        <v>43</v>
      </c>
      <c r="I4" s="11">
        <v>3.1699999999999999E-2</v>
      </c>
      <c r="J4" s="4">
        <v>7</v>
      </c>
      <c r="K4" s="4">
        <v>1.02</v>
      </c>
      <c r="L4" s="4">
        <v>2</v>
      </c>
      <c r="O4" s="4">
        <v>2007</v>
      </c>
      <c r="P4" s="4">
        <v>2008</v>
      </c>
      <c r="Q4" s="4">
        <v>2009</v>
      </c>
      <c r="R4" s="4">
        <v>2010</v>
      </c>
      <c r="S4" s="4">
        <v>2011</v>
      </c>
    </row>
    <row r="5" spans="1:19" x14ac:dyDescent="0.25">
      <c r="A5" s="11">
        <v>1</v>
      </c>
      <c r="B5" s="12" t="s">
        <v>36</v>
      </c>
      <c r="C5" s="11">
        <v>1039</v>
      </c>
      <c r="D5" s="12">
        <v>2007</v>
      </c>
      <c r="E5" s="12" t="s">
        <v>6</v>
      </c>
      <c r="F5" s="5">
        <v>12</v>
      </c>
      <c r="G5" s="4" t="s">
        <v>52</v>
      </c>
      <c r="H5" s="4" t="s">
        <v>43</v>
      </c>
      <c r="I5" s="11">
        <v>-1.4500000000000001E-2</v>
      </c>
      <c r="J5" s="4">
        <v>7</v>
      </c>
      <c r="K5" s="4">
        <v>1.03</v>
      </c>
      <c r="L5" s="4">
        <v>3</v>
      </c>
      <c r="N5" t="s">
        <v>93</v>
      </c>
      <c r="O5" s="15">
        <f>SUMIFS(I2:I51,E2:E51,"Garantito",D2:D51,"2007")/2</f>
        <v>1.555E-2</v>
      </c>
      <c r="P5" s="15">
        <f>SUMIFS(I2:I51,E2:E51,"Garantito",D2:D51,"2008")/2</f>
        <v>4.0250000000000001E-2</v>
      </c>
      <c r="Q5" s="15">
        <f>SUMIFS(I2:I51,E2:E51,"Garantito",D2:D51,"2009")/2</f>
        <v>4.8649999999999999E-2</v>
      </c>
      <c r="R5" s="15">
        <f>SUMIFS(I2:I51,E2:E51,"Garantito",D2:D51,"2010")/2</f>
        <v>7.1999999999999998E-3</v>
      </c>
      <c r="S5" s="15">
        <f>SUMIFS(I2:I51,E2:E51,"Garantito",D2:D51,"2011")/2</f>
        <v>4.3499999999999997E-3</v>
      </c>
    </row>
    <row r="6" spans="1:19" x14ac:dyDescent="0.25">
      <c r="A6" s="11">
        <v>1</v>
      </c>
      <c r="B6" s="12" t="s">
        <v>36</v>
      </c>
      <c r="C6" s="11">
        <v>1934</v>
      </c>
      <c r="D6" s="12">
        <v>2007</v>
      </c>
      <c r="E6" s="12" t="s">
        <v>15</v>
      </c>
      <c r="F6" s="5">
        <v>12</v>
      </c>
      <c r="G6" s="4" t="s">
        <v>52</v>
      </c>
      <c r="H6" s="4" t="s">
        <v>43</v>
      </c>
      <c r="I6" s="11">
        <v>-4.9599999999999998E-2</v>
      </c>
      <c r="J6" s="4">
        <v>7</v>
      </c>
      <c r="K6" s="4">
        <v>1.04</v>
      </c>
      <c r="L6" s="4">
        <v>4</v>
      </c>
      <c r="O6" s="15">
        <f>SUMIFS(I2:I51,E2:E51,"Conservativo",D2:D51,"2007")/2</f>
        <v>8.4000000000000012E-3</v>
      </c>
      <c r="P6" s="15">
        <f>SUMIFS(I2:I51,E2:E51,"Conservativo",D2:D51,"2008")/2</f>
        <v>4.0749999999999995E-2</v>
      </c>
      <c r="Q6" s="15">
        <f>SUMIFS(I2:I51,E2:E51,"Conservativo",D2:D51,"2009")/2</f>
        <v>4.6300000000000001E-2</v>
      </c>
      <c r="R6" s="15">
        <f>SUMIFS(I2:I51,E2:E51,"Conservativo",D2:D51,"2010")/2</f>
        <v>1.545E-2</v>
      </c>
      <c r="S6" s="15">
        <f>SUMIFS(I2:I51,E2:E51,"Conservativo",D2:D51,"2011")/2</f>
        <v>3.2000000000000001E-2</v>
      </c>
    </row>
    <row r="7" spans="1:19" x14ac:dyDescent="0.25">
      <c r="A7" s="11">
        <v>1</v>
      </c>
      <c r="B7" s="12" t="s">
        <v>36</v>
      </c>
      <c r="C7" s="11">
        <f>330-91</f>
        <v>239</v>
      </c>
      <c r="D7" s="12">
        <v>2008</v>
      </c>
      <c r="E7" s="12" t="s">
        <v>5</v>
      </c>
      <c r="F7" s="5">
        <v>12</v>
      </c>
      <c r="G7" s="4" t="s">
        <v>52</v>
      </c>
      <c r="H7" s="4" t="s">
        <v>43</v>
      </c>
      <c r="I7" s="11">
        <v>4.7199999999999999E-2</v>
      </c>
      <c r="J7" s="4">
        <v>8</v>
      </c>
      <c r="K7" s="4">
        <v>1</v>
      </c>
      <c r="L7" s="4">
        <v>0</v>
      </c>
      <c r="O7" s="15">
        <f>SUMIFS(I2:I51,E2:E51,"Prudente",D2:D51,"2007")/2</f>
        <v>1.6500000000000001E-2</v>
      </c>
      <c r="P7" s="15">
        <f>SUMIFS(I2:I51,E2:E51,"Prudente",D2:D51,"2008")/2</f>
        <v>-4.1450000000000001E-2</v>
      </c>
      <c r="Q7" s="15">
        <f>SUMIFS(I2:I51,E2:E51,"Prudente",D2:D51,"2009")/2</f>
        <v>8.72E-2</v>
      </c>
      <c r="R7" s="15">
        <f>SUMIFS(I2:I51,E2:E51,"Prudente",D2:D51,"2010")/2</f>
        <v>2.3050000000000001E-2</v>
      </c>
      <c r="S7" s="15">
        <f>SUMIFS(I2:I51,E2:E51,"Prudente",D2:D51,"2011")/2</f>
        <v>1.15E-2</v>
      </c>
    </row>
    <row r="8" spans="1:19" x14ac:dyDescent="0.25">
      <c r="A8" s="11">
        <v>1</v>
      </c>
      <c r="B8" s="12" t="s">
        <v>36</v>
      </c>
      <c r="C8" s="11">
        <v>427</v>
      </c>
      <c r="D8" s="12">
        <v>2008</v>
      </c>
      <c r="E8" s="12" t="s">
        <v>35</v>
      </c>
      <c r="F8" s="5">
        <v>12</v>
      </c>
      <c r="G8" s="4" t="s">
        <v>52</v>
      </c>
      <c r="H8" s="4" t="s">
        <v>43</v>
      </c>
      <c r="I8" s="11">
        <v>4.8399999999999999E-2</v>
      </c>
      <c r="J8" s="4">
        <v>8</v>
      </c>
      <c r="K8" s="4">
        <v>1.01</v>
      </c>
      <c r="L8" s="4">
        <v>1</v>
      </c>
      <c r="O8" s="15">
        <f>SUMIFS(I2:I51,E2:E51,"Bilanciato",D2:D51,"2007")/2</f>
        <v>-7.6500000000000005E-3</v>
      </c>
      <c r="P8" s="15">
        <f>SUMIFS(I2:I51,E2:E51,"Bilanciato",D2:D51,"2008")/2</f>
        <v>-0.13190000000000002</v>
      </c>
      <c r="Q8" s="15">
        <f>SUMIFS(I2:I51,E2:E51,"Bilanciato",D2:D51,"2009")/2</f>
        <v>0.12145</v>
      </c>
      <c r="R8" s="15">
        <f>SUMIFS(I2:I51,E2:E51,"Bilanciato",D2:D51,"2010")/2</f>
        <v>4.4900000000000002E-2</v>
      </c>
      <c r="S8" s="15">
        <f>SUMIFS(I2:I51,E2:E51,"Bilanciato",D2:D51,"201")/2</f>
        <v>0</v>
      </c>
    </row>
    <row r="9" spans="1:19" x14ac:dyDescent="0.25">
      <c r="A9" s="11">
        <v>1</v>
      </c>
      <c r="B9" s="12" t="s">
        <v>36</v>
      </c>
      <c r="C9" s="11">
        <v>1386</v>
      </c>
      <c r="D9" s="12">
        <v>2008</v>
      </c>
      <c r="E9" s="12" t="s">
        <v>29</v>
      </c>
      <c r="F9" s="5">
        <v>12</v>
      </c>
      <c r="G9" s="4" t="s">
        <v>52</v>
      </c>
      <c r="H9" s="4" t="s">
        <v>43</v>
      </c>
      <c r="I9" s="11">
        <v>-5.6099999999999997E-2</v>
      </c>
      <c r="J9" s="4">
        <v>8</v>
      </c>
      <c r="K9" s="4">
        <v>1.02</v>
      </c>
      <c r="L9" s="4">
        <v>2</v>
      </c>
      <c r="O9" s="15">
        <f>SUMIFS(I2:I51,E2:E51,"Dinamico",D2:D51,"2007")/2</f>
        <v>-2.895E-2</v>
      </c>
      <c r="P9" s="15">
        <f>SUMIFS(I2:I51,E2:E51,"Dinamico",D2:D51,"2008")/2</f>
        <v>-0.21099999999999999</v>
      </c>
      <c r="Q9" s="15">
        <f>SUMIFS(I2:I51,E2:E51,"Dinamico",D2:D51,"2009")/2</f>
        <v>0.15525</v>
      </c>
      <c r="R9" s="15">
        <f>SUMIFS(I2:I51,E2:E51,"Dinamico",D2:D51,"2010")/2</f>
        <v>6.7750000000000005E-2</v>
      </c>
      <c r="S9" s="15">
        <f>SUMIFS(I2:I51,E2:E51,"Dinamico",D2:D51,"2011")/2</f>
        <v>-2.9350000000000001E-2</v>
      </c>
    </row>
    <row r="10" spans="1:19" x14ac:dyDescent="0.25">
      <c r="A10" s="11">
        <v>1</v>
      </c>
      <c r="B10" s="12" t="s">
        <v>36</v>
      </c>
      <c r="C10" s="11">
        <v>1869</v>
      </c>
      <c r="D10" s="12">
        <v>2008</v>
      </c>
      <c r="E10" s="12" t="s">
        <v>6</v>
      </c>
      <c r="F10" s="5">
        <v>12</v>
      </c>
      <c r="G10" s="4" t="s">
        <v>52</v>
      </c>
      <c r="H10" s="4" t="s">
        <v>43</v>
      </c>
      <c r="I10" s="11">
        <v>-0.1421</v>
      </c>
      <c r="J10" s="4">
        <v>8</v>
      </c>
      <c r="K10" s="4">
        <v>1.03</v>
      </c>
      <c r="L10" s="4">
        <v>3</v>
      </c>
    </row>
    <row r="11" spans="1:19" x14ac:dyDescent="0.25">
      <c r="A11" s="11">
        <v>1</v>
      </c>
      <c r="B11" s="12" t="s">
        <v>36</v>
      </c>
      <c r="C11" s="11">
        <v>954</v>
      </c>
      <c r="D11" s="12">
        <v>2008</v>
      </c>
      <c r="E11" s="12" t="s">
        <v>15</v>
      </c>
      <c r="F11" s="5">
        <v>12</v>
      </c>
      <c r="G11" s="4" t="s">
        <v>52</v>
      </c>
      <c r="H11" s="4" t="s">
        <v>43</v>
      </c>
      <c r="I11" s="11">
        <v>-0.22819999999999999</v>
      </c>
      <c r="J11" s="4">
        <v>8</v>
      </c>
      <c r="K11" s="4">
        <v>1.04</v>
      </c>
      <c r="L11" s="4">
        <v>4</v>
      </c>
    </row>
    <row r="12" spans="1:19" x14ac:dyDescent="0.25">
      <c r="A12" s="11">
        <v>1</v>
      </c>
      <c r="B12" s="12" t="s">
        <v>36</v>
      </c>
      <c r="C12" s="11">
        <f>368-96</f>
        <v>272</v>
      </c>
      <c r="D12" s="12">
        <v>2009</v>
      </c>
      <c r="E12" s="12" t="s">
        <v>5</v>
      </c>
      <c r="F12" s="5">
        <v>12</v>
      </c>
      <c r="G12" s="4" t="s">
        <v>52</v>
      </c>
      <c r="H12" s="4" t="s">
        <v>43</v>
      </c>
      <c r="I12" s="11">
        <v>3.9899999999999998E-2</v>
      </c>
      <c r="J12" s="4">
        <v>11</v>
      </c>
      <c r="K12" s="4">
        <v>1</v>
      </c>
      <c r="L12" s="4">
        <v>0</v>
      </c>
    </row>
    <row r="13" spans="1:19" x14ac:dyDescent="0.25">
      <c r="A13" s="11">
        <v>1</v>
      </c>
      <c r="B13" s="12" t="s">
        <v>36</v>
      </c>
      <c r="C13" s="11">
        <v>452</v>
      </c>
      <c r="D13" s="12">
        <v>2009</v>
      </c>
      <c r="E13" s="12" t="s">
        <v>35</v>
      </c>
      <c r="F13" s="5">
        <v>12</v>
      </c>
      <c r="G13" s="4" t="s">
        <v>52</v>
      </c>
      <c r="H13" s="4" t="s">
        <v>43</v>
      </c>
      <c r="I13" s="11">
        <v>3.1199999999999999E-2</v>
      </c>
      <c r="J13" s="4">
        <v>11</v>
      </c>
      <c r="K13" s="4">
        <v>1.01</v>
      </c>
      <c r="L13" s="4">
        <v>1</v>
      </c>
    </row>
    <row r="14" spans="1:19" x14ac:dyDescent="0.25">
      <c r="A14" s="11">
        <v>1</v>
      </c>
      <c r="B14" s="12" t="s">
        <v>36</v>
      </c>
      <c r="C14" s="11">
        <v>1360</v>
      </c>
      <c r="D14" s="12">
        <v>2009</v>
      </c>
      <c r="E14" s="12" t="s">
        <v>29</v>
      </c>
      <c r="F14" s="5">
        <v>12</v>
      </c>
      <c r="G14" s="4" t="s">
        <v>52</v>
      </c>
      <c r="H14" s="4" t="s">
        <v>43</v>
      </c>
      <c r="I14" s="11">
        <v>8.8499999999999995E-2</v>
      </c>
      <c r="J14" s="4">
        <v>11</v>
      </c>
      <c r="K14" s="4">
        <v>1.02</v>
      </c>
      <c r="L14" s="4">
        <v>2</v>
      </c>
    </row>
    <row r="15" spans="1:19" x14ac:dyDescent="0.25">
      <c r="A15" s="11">
        <v>1</v>
      </c>
      <c r="B15" s="12" t="s">
        <v>36</v>
      </c>
      <c r="C15" s="11">
        <v>1752</v>
      </c>
      <c r="D15" s="12">
        <v>2009</v>
      </c>
      <c r="E15" s="12" t="s">
        <v>6</v>
      </c>
      <c r="F15" s="5">
        <v>12</v>
      </c>
      <c r="G15" s="4" t="s">
        <v>52</v>
      </c>
      <c r="H15" s="4" t="s">
        <v>43</v>
      </c>
      <c r="I15" s="11">
        <v>0.1239</v>
      </c>
      <c r="J15" s="4">
        <v>11</v>
      </c>
      <c r="K15" s="4">
        <v>1.03</v>
      </c>
      <c r="L15" s="4">
        <v>3</v>
      </c>
    </row>
    <row r="16" spans="1:19" x14ac:dyDescent="0.25">
      <c r="A16" s="11">
        <v>1</v>
      </c>
      <c r="B16" s="12" t="s">
        <v>36</v>
      </c>
      <c r="C16" s="11">
        <v>896</v>
      </c>
      <c r="D16" s="12">
        <v>2009</v>
      </c>
      <c r="E16" s="12" t="s">
        <v>15</v>
      </c>
      <c r="F16" s="5">
        <v>12</v>
      </c>
      <c r="G16" s="4" t="s">
        <v>52</v>
      </c>
      <c r="H16" s="4" t="s">
        <v>43</v>
      </c>
      <c r="I16" s="11">
        <v>0.1638</v>
      </c>
      <c r="J16" s="4">
        <v>11</v>
      </c>
      <c r="K16" s="4">
        <v>1.04</v>
      </c>
      <c r="L16" s="4">
        <v>4</v>
      </c>
    </row>
    <row r="17" spans="1:12" x14ac:dyDescent="0.25">
      <c r="A17" s="11">
        <v>1</v>
      </c>
      <c r="B17" s="12" t="s">
        <v>36</v>
      </c>
      <c r="C17" s="11">
        <f>410-105</f>
        <v>305</v>
      </c>
      <c r="D17" s="12">
        <v>2010</v>
      </c>
      <c r="E17" s="12" t="s">
        <v>5</v>
      </c>
      <c r="F17" s="5">
        <v>12</v>
      </c>
      <c r="G17" s="4" t="s">
        <v>52</v>
      </c>
      <c r="H17" s="4" t="s">
        <v>43</v>
      </c>
      <c r="I17" s="11">
        <v>3.8999999999999998E-3</v>
      </c>
      <c r="J17" s="4">
        <v>11</v>
      </c>
      <c r="K17" s="4">
        <v>1</v>
      </c>
      <c r="L17" s="4">
        <v>0</v>
      </c>
    </row>
    <row r="18" spans="1:12" x14ac:dyDescent="0.25">
      <c r="A18" s="11">
        <v>1</v>
      </c>
      <c r="B18" s="12" t="s">
        <v>36</v>
      </c>
      <c r="C18" s="11">
        <v>439</v>
      </c>
      <c r="D18" s="12">
        <v>2010</v>
      </c>
      <c r="E18" s="12" t="s">
        <v>35</v>
      </c>
      <c r="F18" s="5">
        <v>12</v>
      </c>
      <c r="G18" s="4" t="s">
        <v>52</v>
      </c>
      <c r="H18" s="4" t="s">
        <v>43</v>
      </c>
      <c r="I18" s="11">
        <v>7.3000000000000001E-3</v>
      </c>
      <c r="J18" s="4">
        <v>11</v>
      </c>
      <c r="K18" s="4">
        <v>1.01</v>
      </c>
      <c r="L18" s="4">
        <v>1</v>
      </c>
    </row>
    <row r="19" spans="1:12" x14ac:dyDescent="0.25">
      <c r="A19" s="11">
        <v>1</v>
      </c>
      <c r="B19" s="12" t="s">
        <v>36</v>
      </c>
      <c r="C19" s="11">
        <v>1325</v>
      </c>
      <c r="D19" s="12">
        <v>2010</v>
      </c>
      <c r="E19" s="12" t="s">
        <v>29</v>
      </c>
      <c r="F19" s="5">
        <v>12</v>
      </c>
      <c r="G19" s="4" t="s">
        <v>52</v>
      </c>
      <c r="H19" s="4" t="s">
        <v>43</v>
      </c>
      <c r="I19" s="11">
        <v>1.41E-2</v>
      </c>
      <c r="J19" s="4">
        <v>11</v>
      </c>
      <c r="K19" s="4">
        <v>1.02</v>
      </c>
      <c r="L19" s="4">
        <v>2</v>
      </c>
    </row>
    <row r="20" spans="1:12" x14ac:dyDescent="0.25">
      <c r="A20" s="11">
        <v>1</v>
      </c>
      <c r="B20" s="12" t="s">
        <v>36</v>
      </c>
      <c r="C20" s="11">
        <v>1710</v>
      </c>
      <c r="D20" s="12">
        <v>2010</v>
      </c>
      <c r="E20" s="12" t="s">
        <v>6</v>
      </c>
      <c r="F20" s="5">
        <v>12</v>
      </c>
      <c r="G20" s="4" t="s">
        <v>52</v>
      </c>
      <c r="H20" s="4" t="s">
        <v>43</v>
      </c>
      <c r="I20" s="11">
        <v>4.2000000000000003E-2</v>
      </c>
      <c r="J20" s="4">
        <v>11</v>
      </c>
      <c r="K20" s="4">
        <v>1.03</v>
      </c>
      <c r="L20" s="4">
        <v>3</v>
      </c>
    </row>
    <row r="21" spans="1:12" x14ac:dyDescent="0.25">
      <c r="A21" s="11">
        <v>1</v>
      </c>
      <c r="B21" s="12" t="s">
        <v>36</v>
      </c>
      <c r="C21" s="11">
        <v>841</v>
      </c>
      <c r="D21" s="12">
        <v>2010</v>
      </c>
      <c r="E21" s="12" t="s">
        <v>15</v>
      </c>
      <c r="F21" s="5">
        <v>12</v>
      </c>
      <c r="G21" s="4" t="s">
        <v>52</v>
      </c>
      <c r="H21" s="4" t="s">
        <v>43</v>
      </c>
      <c r="I21" s="11">
        <v>7.51E-2</v>
      </c>
      <c r="J21" s="4">
        <v>11</v>
      </c>
      <c r="K21" s="4">
        <v>1.04</v>
      </c>
      <c r="L21" s="4">
        <v>4</v>
      </c>
    </row>
    <row r="22" spans="1:12" x14ac:dyDescent="0.25">
      <c r="A22" s="11">
        <v>1</v>
      </c>
      <c r="B22" s="12" t="s">
        <v>36</v>
      </c>
      <c r="C22" s="11">
        <v>300</v>
      </c>
      <c r="D22" s="12">
        <v>2011</v>
      </c>
      <c r="E22" s="12" t="s">
        <v>5</v>
      </c>
      <c r="F22" s="5">
        <v>12</v>
      </c>
      <c r="G22" s="4" t="s">
        <v>52</v>
      </c>
      <c r="H22" s="4" t="s">
        <v>43</v>
      </c>
      <c r="I22" s="11">
        <v>1.47E-2</v>
      </c>
      <c r="J22" s="4">
        <v>11</v>
      </c>
      <c r="K22" s="4">
        <v>1</v>
      </c>
      <c r="L22" s="4">
        <v>0</v>
      </c>
    </row>
    <row r="23" spans="1:12" x14ac:dyDescent="0.25">
      <c r="A23" s="11">
        <v>1</v>
      </c>
      <c r="B23" s="12" t="s">
        <v>36</v>
      </c>
      <c r="C23" s="11">
        <v>450</v>
      </c>
      <c r="D23" s="12">
        <v>2011</v>
      </c>
      <c r="E23" s="12" t="s">
        <v>35</v>
      </c>
      <c r="F23" s="5">
        <v>12</v>
      </c>
      <c r="G23" s="4" t="s">
        <v>52</v>
      </c>
      <c r="H23" s="4" t="s">
        <v>43</v>
      </c>
      <c r="I23" s="11">
        <v>4.3299999999999998E-2</v>
      </c>
      <c r="J23" s="4">
        <v>11</v>
      </c>
      <c r="K23" s="4">
        <v>1.01</v>
      </c>
      <c r="L23" s="4">
        <v>1</v>
      </c>
    </row>
    <row r="24" spans="1:12" x14ac:dyDescent="0.25">
      <c r="A24" s="11">
        <v>1</v>
      </c>
      <c r="B24" s="12" t="s">
        <v>36</v>
      </c>
      <c r="C24" s="11">
        <v>1400</v>
      </c>
      <c r="D24" s="12">
        <v>2011</v>
      </c>
      <c r="E24" s="12" t="s">
        <v>29</v>
      </c>
      <c r="F24" s="5">
        <v>12</v>
      </c>
      <c r="G24" s="4" t="s">
        <v>52</v>
      </c>
      <c r="H24" s="4" t="s">
        <v>43</v>
      </c>
      <c r="I24" s="11">
        <v>1.4E-2</v>
      </c>
      <c r="J24" s="4">
        <v>11</v>
      </c>
      <c r="K24" s="4">
        <v>1.02</v>
      </c>
      <c r="L24" s="4">
        <v>2</v>
      </c>
    </row>
    <row r="25" spans="1:12" x14ac:dyDescent="0.25">
      <c r="A25" s="11">
        <v>1</v>
      </c>
      <c r="B25" s="12" t="s">
        <v>36</v>
      </c>
      <c r="C25" s="11">
        <v>1600</v>
      </c>
      <c r="D25" s="12">
        <v>2011</v>
      </c>
      <c r="E25" s="12" t="s">
        <v>6</v>
      </c>
      <c r="F25" s="5">
        <v>12</v>
      </c>
      <c r="G25" s="4" t="s">
        <v>52</v>
      </c>
      <c r="H25" s="4" t="s">
        <v>43</v>
      </c>
      <c r="I25" s="11">
        <v>1.5699999999999999E-2</v>
      </c>
      <c r="J25" s="4">
        <v>11</v>
      </c>
      <c r="K25" s="4">
        <v>1.03</v>
      </c>
      <c r="L25" s="4">
        <v>3</v>
      </c>
    </row>
    <row r="26" spans="1:12" x14ac:dyDescent="0.25">
      <c r="A26" s="11">
        <v>1</v>
      </c>
      <c r="B26" s="12" t="s">
        <v>36</v>
      </c>
      <c r="C26" s="11">
        <v>850</v>
      </c>
      <c r="D26" s="12">
        <v>2011</v>
      </c>
      <c r="E26" s="12" t="s">
        <v>15</v>
      </c>
      <c r="F26" s="5">
        <v>12</v>
      </c>
      <c r="G26" s="4" t="s">
        <v>52</v>
      </c>
      <c r="H26" s="4" t="s">
        <v>43</v>
      </c>
      <c r="I26" s="11">
        <v>-3.0599999999999999E-2</v>
      </c>
      <c r="J26" s="4">
        <v>11</v>
      </c>
      <c r="K26" s="4">
        <v>1.04</v>
      </c>
      <c r="L26" s="4">
        <v>4</v>
      </c>
    </row>
    <row r="27" spans="1:12" x14ac:dyDescent="0.25">
      <c r="A27" s="11">
        <v>2</v>
      </c>
      <c r="B27" s="12" t="s">
        <v>34</v>
      </c>
      <c r="C27" s="12">
        <f>5989-3382</f>
        <v>2607</v>
      </c>
      <c r="D27" s="12">
        <v>2007</v>
      </c>
      <c r="E27" s="12" t="s">
        <v>5</v>
      </c>
      <c r="F27" s="3">
        <v>3</v>
      </c>
      <c r="G27" s="4" t="s">
        <v>66</v>
      </c>
      <c r="H27" s="4" t="s">
        <v>40</v>
      </c>
      <c r="I27" s="11">
        <v>1.5599999999999999E-2</v>
      </c>
      <c r="J27" s="4">
        <v>126</v>
      </c>
      <c r="K27" s="4">
        <v>0.46</v>
      </c>
      <c r="L27" s="4">
        <v>0</v>
      </c>
    </row>
    <row r="28" spans="1:12" x14ac:dyDescent="0.25">
      <c r="A28" s="11">
        <v>2</v>
      </c>
      <c r="B28" s="12" t="s">
        <v>34</v>
      </c>
      <c r="C28" s="11">
        <v>3098</v>
      </c>
      <c r="D28" s="12">
        <v>2007</v>
      </c>
      <c r="E28" s="12" t="s">
        <v>35</v>
      </c>
      <c r="F28" s="5">
        <v>3</v>
      </c>
      <c r="G28" s="4" t="s">
        <v>66</v>
      </c>
      <c r="H28" s="4" t="s">
        <v>40</v>
      </c>
      <c r="I28" s="11">
        <v>6.8999999999999999E-3</v>
      </c>
      <c r="J28" s="4">
        <v>126</v>
      </c>
      <c r="K28" s="4">
        <v>0.41</v>
      </c>
      <c r="L28" s="4">
        <v>1</v>
      </c>
    </row>
    <row r="29" spans="1:12" x14ac:dyDescent="0.25">
      <c r="A29" s="11">
        <v>2</v>
      </c>
      <c r="B29" s="12" t="s">
        <v>34</v>
      </c>
      <c r="C29" s="11">
        <v>43511</v>
      </c>
      <c r="D29" s="12">
        <v>2007</v>
      </c>
      <c r="E29" s="12" t="s">
        <v>29</v>
      </c>
      <c r="F29" s="5">
        <v>3</v>
      </c>
      <c r="G29" s="4" t="s">
        <v>66</v>
      </c>
      <c r="H29" s="4" t="s">
        <v>40</v>
      </c>
      <c r="I29" s="11">
        <v>1.2999999999999999E-3</v>
      </c>
      <c r="J29" s="4">
        <v>126</v>
      </c>
      <c r="K29" s="4">
        <v>0.41</v>
      </c>
      <c r="L29" s="4">
        <v>2</v>
      </c>
    </row>
    <row r="30" spans="1:12" x14ac:dyDescent="0.25">
      <c r="A30" s="11">
        <v>2</v>
      </c>
      <c r="B30" s="12" t="s">
        <v>34</v>
      </c>
      <c r="C30" s="11">
        <v>9053</v>
      </c>
      <c r="D30" s="12">
        <v>2007</v>
      </c>
      <c r="E30" s="12" t="s">
        <v>6</v>
      </c>
      <c r="F30" s="5">
        <v>3</v>
      </c>
      <c r="G30" s="4" t="s">
        <v>66</v>
      </c>
      <c r="H30" s="4" t="s">
        <v>40</v>
      </c>
      <c r="I30" s="11">
        <v>-8.0000000000000004E-4</v>
      </c>
      <c r="J30" s="4">
        <v>126</v>
      </c>
      <c r="K30" s="4">
        <v>0.42</v>
      </c>
      <c r="L30" s="4">
        <v>3</v>
      </c>
    </row>
    <row r="31" spans="1:12" x14ac:dyDescent="0.25">
      <c r="A31" s="11">
        <v>2</v>
      </c>
      <c r="B31" s="12" t="s">
        <v>34</v>
      </c>
      <c r="C31" s="11">
        <v>3908</v>
      </c>
      <c r="D31" s="12">
        <v>2007</v>
      </c>
      <c r="E31" s="12" t="s">
        <v>15</v>
      </c>
      <c r="F31" s="5">
        <v>3</v>
      </c>
      <c r="G31" s="4" t="s">
        <v>66</v>
      </c>
      <c r="H31" s="4" t="s">
        <v>40</v>
      </c>
      <c r="I31" s="11">
        <v>-8.3000000000000001E-3</v>
      </c>
      <c r="J31" s="4">
        <v>126</v>
      </c>
      <c r="K31" s="4">
        <v>0.42</v>
      </c>
      <c r="L31" s="4">
        <v>4</v>
      </c>
    </row>
    <row r="32" spans="1:12" x14ac:dyDescent="0.25">
      <c r="A32" s="11">
        <v>2</v>
      </c>
      <c r="B32" s="12" t="s">
        <v>34</v>
      </c>
      <c r="C32" s="11">
        <f>6192-3972</f>
        <v>2220</v>
      </c>
      <c r="D32" s="12">
        <v>2008</v>
      </c>
      <c r="E32" s="12" t="s">
        <v>5</v>
      </c>
      <c r="F32" s="5">
        <v>3</v>
      </c>
      <c r="G32" s="4" t="s">
        <v>66</v>
      </c>
      <c r="H32" s="4" t="s">
        <v>40</v>
      </c>
      <c r="I32" s="11">
        <v>3.3300000000000003E-2</v>
      </c>
      <c r="J32" s="4">
        <v>171</v>
      </c>
      <c r="K32" s="4">
        <v>0.46</v>
      </c>
      <c r="L32" s="4">
        <v>0</v>
      </c>
    </row>
    <row r="33" spans="1:12" x14ac:dyDescent="0.25">
      <c r="A33" s="11">
        <v>2</v>
      </c>
      <c r="B33" s="12" t="s">
        <v>34</v>
      </c>
      <c r="C33" s="11">
        <v>3820</v>
      </c>
      <c r="D33" s="12">
        <v>2008</v>
      </c>
      <c r="E33" s="12" t="s">
        <v>35</v>
      </c>
      <c r="F33" s="5">
        <v>3</v>
      </c>
      <c r="G33" s="4" t="s">
        <v>66</v>
      </c>
      <c r="H33" s="4" t="s">
        <v>40</v>
      </c>
      <c r="I33" s="11">
        <v>3.3099999999999997E-2</v>
      </c>
      <c r="J33" s="4">
        <v>171</v>
      </c>
      <c r="K33" s="4">
        <v>0.41</v>
      </c>
      <c r="L33" s="4">
        <v>1</v>
      </c>
    </row>
    <row r="34" spans="1:12" x14ac:dyDescent="0.25">
      <c r="A34" s="11">
        <v>2</v>
      </c>
      <c r="B34" s="12" t="s">
        <v>34</v>
      </c>
      <c r="C34" s="11">
        <v>43951</v>
      </c>
      <c r="D34" s="12">
        <v>2008</v>
      </c>
      <c r="E34" s="12" t="s">
        <v>29</v>
      </c>
      <c r="F34" s="5">
        <v>3</v>
      </c>
      <c r="G34" s="4" t="s">
        <v>66</v>
      </c>
      <c r="H34" s="4" t="s">
        <v>40</v>
      </c>
      <c r="I34" s="11">
        <v>-2.6800000000000001E-2</v>
      </c>
      <c r="J34" s="4">
        <v>171</v>
      </c>
      <c r="K34" s="4">
        <v>0.41</v>
      </c>
      <c r="L34" s="4">
        <v>2</v>
      </c>
    </row>
    <row r="35" spans="1:12" x14ac:dyDescent="0.25">
      <c r="A35" s="11">
        <v>2</v>
      </c>
      <c r="B35" s="12" t="s">
        <v>34</v>
      </c>
      <c r="C35" s="11">
        <v>9105</v>
      </c>
      <c r="D35" s="12">
        <v>2008</v>
      </c>
      <c r="E35" s="12" t="s">
        <v>6</v>
      </c>
      <c r="F35" s="5">
        <v>3</v>
      </c>
      <c r="G35" s="4" t="s">
        <v>66</v>
      </c>
      <c r="H35" s="4" t="s">
        <v>40</v>
      </c>
      <c r="I35" s="11">
        <v>-0.1217</v>
      </c>
      <c r="J35" s="4">
        <v>171</v>
      </c>
      <c r="K35" s="4">
        <v>0.42</v>
      </c>
      <c r="L35" s="4">
        <v>3</v>
      </c>
    </row>
    <row r="36" spans="1:12" x14ac:dyDescent="0.25">
      <c r="A36" s="11">
        <v>2</v>
      </c>
      <c r="B36" s="12" t="s">
        <v>34</v>
      </c>
      <c r="C36" s="11">
        <v>3931</v>
      </c>
      <c r="D36" s="12">
        <v>2008</v>
      </c>
      <c r="E36" s="12" t="s">
        <v>15</v>
      </c>
      <c r="F36" s="5">
        <v>3</v>
      </c>
      <c r="G36" s="4" t="s">
        <v>66</v>
      </c>
      <c r="H36" s="4" t="s">
        <v>40</v>
      </c>
      <c r="I36" s="11">
        <v>-0.1938</v>
      </c>
      <c r="J36" s="4">
        <v>171</v>
      </c>
      <c r="K36" s="4">
        <v>0.42</v>
      </c>
      <c r="L36" s="4">
        <v>4</v>
      </c>
    </row>
    <row r="37" spans="1:12" x14ac:dyDescent="0.25">
      <c r="A37" s="11">
        <v>2</v>
      </c>
      <c r="B37" s="12" t="s">
        <v>34</v>
      </c>
      <c r="C37" s="11">
        <f>6214-4407</f>
        <v>1807</v>
      </c>
      <c r="D37" s="12">
        <v>2009</v>
      </c>
      <c r="E37" s="12" t="s">
        <v>5</v>
      </c>
      <c r="F37" s="5">
        <v>3</v>
      </c>
      <c r="G37" s="4" t="s">
        <v>66</v>
      </c>
      <c r="H37" s="4" t="s">
        <v>40</v>
      </c>
      <c r="I37" s="11">
        <v>5.74E-2</v>
      </c>
      <c r="J37" s="4">
        <v>148</v>
      </c>
      <c r="K37" s="4">
        <v>0.46</v>
      </c>
      <c r="L37" s="4">
        <v>0</v>
      </c>
    </row>
    <row r="38" spans="1:12" x14ac:dyDescent="0.25">
      <c r="A38" s="11">
        <v>2</v>
      </c>
      <c r="B38" s="12" t="s">
        <v>34</v>
      </c>
      <c r="C38" s="11">
        <v>3920</v>
      </c>
      <c r="D38" s="12">
        <v>2009</v>
      </c>
      <c r="E38" s="12" t="s">
        <v>35</v>
      </c>
      <c r="F38" s="5">
        <v>3</v>
      </c>
      <c r="G38" s="4" t="s">
        <v>66</v>
      </c>
      <c r="H38" s="4" t="s">
        <v>40</v>
      </c>
      <c r="I38" s="11">
        <v>6.1400000000000003E-2</v>
      </c>
      <c r="J38" s="4">
        <v>148</v>
      </c>
      <c r="K38" s="4">
        <v>0.41</v>
      </c>
      <c r="L38" s="4">
        <v>1</v>
      </c>
    </row>
    <row r="39" spans="1:12" x14ac:dyDescent="0.25">
      <c r="A39" s="11">
        <v>2</v>
      </c>
      <c r="B39" s="12" t="s">
        <v>34</v>
      </c>
      <c r="C39" s="11">
        <v>44118</v>
      </c>
      <c r="D39" s="12">
        <v>2009</v>
      </c>
      <c r="E39" s="12" t="s">
        <v>29</v>
      </c>
      <c r="F39" s="5">
        <v>3</v>
      </c>
      <c r="G39" s="4" t="s">
        <v>66</v>
      </c>
      <c r="H39" s="4" t="s">
        <v>40</v>
      </c>
      <c r="I39" s="11">
        <v>8.5900000000000004E-2</v>
      </c>
      <c r="J39" s="4">
        <v>148</v>
      </c>
      <c r="K39" s="4">
        <v>0.41</v>
      </c>
      <c r="L39" s="4">
        <v>2</v>
      </c>
    </row>
    <row r="40" spans="1:12" x14ac:dyDescent="0.25">
      <c r="A40" s="11">
        <v>2</v>
      </c>
      <c r="B40" s="12" t="s">
        <v>34</v>
      </c>
      <c r="C40" s="11">
        <v>8388</v>
      </c>
      <c r="D40" s="12">
        <v>2009</v>
      </c>
      <c r="E40" s="12" t="s">
        <v>6</v>
      </c>
      <c r="F40" s="5">
        <v>3</v>
      </c>
      <c r="G40" s="4" t="s">
        <v>66</v>
      </c>
      <c r="H40" s="4" t="s">
        <v>40</v>
      </c>
      <c r="I40" s="11">
        <v>0.11899999999999999</v>
      </c>
      <c r="J40" s="4">
        <v>148</v>
      </c>
      <c r="K40" s="4">
        <v>0.42</v>
      </c>
      <c r="L40" s="4">
        <v>3</v>
      </c>
    </row>
    <row r="41" spans="1:12" x14ac:dyDescent="0.25">
      <c r="A41" s="11">
        <v>2</v>
      </c>
      <c r="B41" s="12" t="s">
        <v>34</v>
      </c>
      <c r="C41" s="11">
        <v>3984</v>
      </c>
      <c r="D41" s="12">
        <v>2009</v>
      </c>
      <c r="E41" s="12" t="s">
        <v>15</v>
      </c>
      <c r="F41" s="5">
        <v>3</v>
      </c>
      <c r="G41" s="4" t="s">
        <v>66</v>
      </c>
      <c r="H41" s="4" t="s">
        <v>40</v>
      </c>
      <c r="I41" s="11">
        <v>0.1467</v>
      </c>
      <c r="J41" s="4">
        <v>148</v>
      </c>
      <c r="K41" s="4">
        <v>0.42</v>
      </c>
      <c r="L41" s="4">
        <v>4</v>
      </c>
    </row>
    <row r="42" spans="1:12" x14ac:dyDescent="0.25">
      <c r="A42" s="11">
        <v>2</v>
      </c>
      <c r="B42" s="12" t="s">
        <v>34</v>
      </c>
      <c r="C42" s="11">
        <f>6280-4656</f>
        <v>1624</v>
      </c>
      <c r="D42" s="12">
        <v>2010</v>
      </c>
      <c r="E42" s="12" t="s">
        <v>5</v>
      </c>
      <c r="F42" s="5">
        <v>3</v>
      </c>
      <c r="G42" s="4" t="s">
        <v>66</v>
      </c>
      <c r="H42" s="4" t="s">
        <v>40</v>
      </c>
      <c r="I42" s="11">
        <v>1.0500000000000001E-2</v>
      </c>
      <c r="J42" s="4">
        <v>156</v>
      </c>
      <c r="K42" s="4">
        <v>0.46</v>
      </c>
      <c r="L42" s="4">
        <v>0</v>
      </c>
    </row>
    <row r="43" spans="1:12" x14ac:dyDescent="0.25">
      <c r="A43" s="11">
        <v>2</v>
      </c>
      <c r="B43" s="12" t="s">
        <v>34</v>
      </c>
      <c r="C43" s="11">
        <v>3908</v>
      </c>
      <c r="D43" s="12">
        <v>2010</v>
      </c>
      <c r="E43" s="12" t="s">
        <v>35</v>
      </c>
      <c r="F43" s="5">
        <v>3</v>
      </c>
      <c r="G43" s="4" t="s">
        <v>66</v>
      </c>
      <c r="H43" s="4" t="s">
        <v>40</v>
      </c>
      <c r="I43" s="11">
        <v>2.3599999999999999E-2</v>
      </c>
      <c r="J43" s="4">
        <v>156</v>
      </c>
      <c r="K43" s="4">
        <v>0.41</v>
      </c>
      <c r="L43" s="4">
        <v>1</v>
      </c>
    </row>
    <row r="44" spans="1:12" x14ac:dyDescent="0.25">
      <c r="A44" s="11">
        <v>2</v>
      </c>
      <c r="B44" s="12" t="s">
        <v>34</v>
      </c>
      <c r="C44" s="11">
        <v>42042</v>
      </c>
      <c r="D44" s="12">
        <v>2010</v>
      </c>
      <c r="E44" s="12" t="s">
        <v>29</v>
      </c>
      <c r="F44" s="5">
        <v>3</v>
      </c>
      <c r="G44" s="4" t="s">
        <v>66</v>
      </c>
      <c r="H44" s="4" t="s">
        <v>40</v>
      </c>
      <c r="I44" s="11">
        <v>3.2000000000000001E-2</v>
      </c>
      <c r="J44" s="4">
        <v>156</v>
      </c>
      <c r="K44" s="4">
        <v>0.41</v>
      </c>
      <c r="L44" s="4">
        <v>2</v>
      </c>
    </row>
    <row r="45" spans="1:12" x14ac:dyDescent="0.25">
      <c r="A45" s="11">
        <v>2</v>
      </c>
      <c r="B45" s="12" t="s">
        <v>34</v>
      </c>
      <c r="C45" s="11">
        <v>8228</v>
      </c>
      <c r="D45" s="12">
        <v>2010</v>
      </c>
      <c r="E45" s="12" t="s">
        <v>6</v>
      </c>
      <c r="F45" s="5">
        <v>3</v>
      </c>
      <c r="G45" s="4" t="s">
        <v>66</v>
      </c>
      <c r="H45" s="4" t="s">
        <v>40</v>
      </c>
      <c r="I45" s="11">
        <v>4.7800000000000002E-2</v>
      </c>
      <c r="J45" s="4">
        <v>156</v>
      </c>
      <c r="K45" s="4">
        <v>0.42</v>
      </c>
      <c r="L45" s="4">
        <v>3</v>
      </c>
    </row>
    <row r="46" spans="1:12" x14ac:dyDescent="0.25">
      <c r="A46" s="11">
        <v>2</v>
      </c>
      <c r="B46" s="12" t="s">
        <v>34</v>
      </c>
      <c r="C46" s="11">
        <v>3901</v>
      </c>
      <c r="D46" s="12">
        <v>2010</v>
      </c>
      <c r="E46" s="12" t="s">
        <v>15</v>
      </c>
      <c r="F46" s="5">
        <v>3</v>
      </c>
      <c r="G46" s="4" t="s">
        <v>66</v>
      </c>
      <c r="H46" s="4" t="s">
        <v>40</v>
      </c>
      <c r="I46" s="11">
        <v>6.0400000000000002E-2</v>
      </c>
      <c r="J46" s="4">
        <v>156</v>
      </c>
      <c r="K46" s="4">
        <v>0.42</v>
      </c>
      <c r="L46" s="4">
        <v>4</v>
      </c>
    </row>
    <row r="47" spans="1:12" x14ac:dyDescent="0.25">
      <c r="A47" s="11">
        <v>2</v>
      </c>
      <c r="B47" s="12" t="s">
        <v>34</v>
      </c>
      <c r="C47" s="11">
        <v>2065</v>
      </c>
      <c r="D47" s="12">
        <v>2011</v>
      </c>
      <c r="E47" s="12" t="s">
        <v>5</v>
      </c>
      <c r="F47" s="5">
        <v>3</v>
      </c>
      <c r="G47" s="4" t="s">
        <v>66</v>
      </c>
      <c r="H47" s="4" t="s">
        <v>40</v>
      </c>
      <c r="I47" s="11">
        <v>-6.0000000000000001E-3</v>
      </c>
      <c r="J47" s="4">
        <v>162</v>
      </c>
      <c r="K47" s="4">
        <v>0.46</v>
      </c>
      <c r="L47" s="4">
        <v>0</v>
      </c>
    </row>
    <row r="48" spans="1:12" x14ac:dyDescent="0.25">
      <c r="A48" s="11">
        <v>2</v>
      </c>
      <c r="B48" s="12" t="s">
        <v>34</v>
      </c>
      <c r="C48" s="11">
        <v>4039</v>
      </c>
      <c r="D48" s="12">
        <v>2011</v>
      </c>
      <c r="E48" s="12" t="s">
        <v>35</v>
      </c>
      <c r="F48" s="5">
        <v>3</v>
      </c>
      <c r="G48" s="4" t="s">
        <v>66</v>
      </c>
      <c r="H48" s="4" t="s">
        <v>40</v>
      </c>
      <c r="I48" s="11">
        <v>2.07E-2</v>
      </c>
      <c r="J48" s="4">
        <v>162</v>
      </c>
      <c r="K48" s="4">
        <v>0.41</v>
      </c>
      <c r="L48" s="4">
        <v>1</v>
      </c>
    </row>
    <row r="49" spans="1:12" x14ac:dyDescent="0.25">
      <c r="A49" s="11">
        <v>2</v>
      </c>
      <c r="B49" s="12" t="s">
        <v>34</v>
      </c>
      <c r="C49" s="11">
        <v>40762</v>
      </c>
      <c r="D49" s="12">
        <v>2011</v>
      </c>
      <c r="E49" s="12" t="s">
        <v>29</v>
      </c>
      <c r="F49" s="5">
        <v>3</v>
      </c>
      <c r="G49" s="4" t="s">
        <v>66</v>
      </c>
      <c r="H49" s="4" t="s">
        <v>40</v>
      </c>
      <c r="I49" s="11">
        <v>8.9999999999999993E-3</v>
      </c>
      <c r="J49" s="4">
        <v>162</v>
      </c>
      <c r="K49" s="4">
        <v>0.41</v>
      </c>
      <c r="L49" s="4">
        <v>2</v>
      </c>
    </row>
    <row r="50" spans="1:12" x14ac:dyDescent="0.25">
      <c r="A50" s="11">
        <v>2</v>
      </c>
      <c r="B50" s="12" t="s">
        <v>34</v>
      </c>
      <c r="C50" s="11">
        <v>8206</v>
      </c>
      <c r="D50" s="12">
        <v>2011</v>
      </c>
      <c r="E50" s="12" t="s">
        <v>6</v>
      </c>
      <c r="F50" s="5">
        <v>3</v>
      </c>
      <c r="G50" s="4" t="s">
        <v>66</v>
      </c>
      <c r="H50" s="4" t="s">
        <v>40</v>
      </c>
      <c r="I50" s="11">
        <v>-1.04E-2</v>
      </c>
      <c r="J50" s="4">
        <v>162</v>
      </c>
      <c r="K50" s="4">
        <v>0.42</v>
      </c>
      <c r="L50" s="4">
        <v>3</v>
      </c>
    </row>
    <row r="51" spans="1:12" x14ac:dyDescent="0.25">
      <c r="A51" s="11">
        <v>2</v>
      </c>
      <c r="B51" s="12" t="s">
        <v>34</v>
      </c>
      <c r="C51" s="11">
        <v>3834</v>
      </c>
      <c r="D51" s="12">
        <v>2011</v>
      </c>
      <c r="E51" s="12" t="s">
        <v>15</v>
      </c>
      <c r="F51" s="5">
        <v>3</v>
      </c>
      <c r="G51" s="4" t="s">
        <v>66</v>
      </c>
      <c r="H51" s="4" t="s">
        <v>40</v>
      </c>
      <c r="I51" s="11">
        <v>-2.81E-2</v>
      </c>
      <c r="J51" s="4">
        <v>162</v>
      </c>
      <c r="K51" s="4">
        <v>0.42</v>
      </c>
      <c r="L51" s="4">
        <v>4</v>
      </c>
    </row>
    <row r="52" spans="1:12" x14ac:dyDescent="0.25">
      <c r="B52" s="12"/>
    </row>
  </sheetData>
  <sortState ref="B2:H51">
    <sortCondition ref="B2:B51"/>
    <sortCondition ref="D2:D51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131"/>
  <sheetViews>
    <sheetView topLeftCell="D3" workbookViewId="0">
      <selection activeCell="K16" sqref="K16:L17"/>
    </sheetView>
  </sheetViews>
  <sheetFormatPr defaultRowHeight="15" x14ac:dyDescent="0.25"/>
  <cols>
    <col min="1" max="3" width="9.140625" style="11"/>
    <col min="4" max="5" width="13.42578125" style="11" customWidth="1"/>
    <col min="6" max="7" width="9.140625" style="11"/>
    <col min="8" max="8" width="18.42578125" style="4" customWidth="1"/>
    <col min="9" max="11" width="13.140625" style="4" customWidth="1"/>
    <col min="12" max="12" width="19.5703125" style="4" customWidth="1"/>
    <col min="13" max="13" width="18.28515625" style="2" customWidth="1"/>
  </cols>
  <sheetData>
    <row r="1" spans="1:13" s="6" customFormat="1" x14ac:dyDescent="0.25">
      <c r="A1" s="10" t="s">
        <v>2</v>
      </c>
      <c r="B1" s="10" t="s">
        <v>1</v>
      </c>
      <c r="C1" s="10" t="s">
        <v>3</v>
      </c>
      <c r="D1" s="10"/>
      <c r="E1" s="10"/>
      <c r="F1" s="10"/>
      <c r="G1" s="9"/>
      <c r="H1" s="1"/>
      <c r="I1" s="1"/>
      <c r="J1" s="1"/>
      <c r="K1" s="1"/>
      <c r="L1" s="1"/>
      <c r="M1" s="1"/>
    </row>
    <row r="2" spans="1:13" x14ac:dyDescent="0.25">
      <c r="A2" s="12" t="s">
        <v>5</v>
      </c>
      <c r="B2" s="12">
        <v>0</v>
      </c>
      <c r="C2" s="12">
        <v>2007</v>
      </c>
      <c r="E2" s="4"/>
      <c r="F2" s="4"/>
      <c r="J2" s="3"/>
      <c r="K2" s="3"/>
    </row>
    <row r="3" spans="1:13" x14ac:dyDescent="0.25">
      <c r="A3" s="12" t="s">
        <v>6</v>
      </c>
      <c r="B3" s="12">
        <f>7730-157</f>
        <v>7573</v>
      </c>
      <c r="C3" s="12">
        <v>2007</v>
      </c>
      <c r="E3" s="4"/>
      <c r="F3" s="4"/>
      <c r="J3" s="3"/>
      <c r="K3" s="3"/>
    </row>
    <row r="4" spans="1:13" x14ac:dyDescent="0.25">
      <c r="A4" s="12" t="s">
        <v>5</v>
      </c>
      <c r="B4" s="12">
        <f>284-208</f>
        <v>76</v>
      </c>
      <c r="C4" s="12">
        <v>2008</v>
      </c>
      <c r="E4" s="4"/>
      <c r="F4" s="4"/>
      <c r="J4" s="3"/>
      <c r="K4" s="3"/>
    </row>
    <row r="5" spans="1:13" x14ac:dyDescent="0.25">
      <c r="A5" s="12" t="s">
        <v>6</v>
      </c>
      <c r="B5" s="12">
        <v>7712</v>
      </c>
      <c r="C5" s="12">
        <v>2008</v>
      </c>
      <c r="E5" s="4"/>
      <c r="F5" s="4"/>
      <c r="J5" s="3"/>
      <c r="K5" s="3"/>
    </row>
    <row r="6" spans="1:13" x14ac:dyDescent="0.25">
      <c r="A6" s="12" t="s">
        <v>5</v>
      </c>
      <c r="B6" s="12">
        <f>562-257</f>
        <v>305</v>
      </c>
      <c r="C6" s="12">
        <v>2009</v>
      </c>
      <c r="E6" s="4"/>
      <c r="F6" s="4"/>
      <c r="J6" s="3"/>
      <c r="K6" s="3"/>
    </row>
    <row r="7" spans="1:13" x14ac:dyDescent="0.25">
      <c r="A7" s="12" t="s">
        <v>6</v>
      </c>
      <c r="B7" s="12">
        <v>7610</v>
      </c>
      <c r="C7" s="12">
        <v>2009</v>
      </c>
      <c r="E7" s="4"/>
      <c r="F7" s="4"/>
      <c r="J7" s="3"/>
      <c r="K7" s="3"/>
    </row>
    <row r="8" spans="1:13" x14ac:dyDescent="0.25">
      <c r="A8" s="12" t="s">
        <v>5</v>
      </c>
      <c r="B8" s="12">
        <f>717-321</f>
        <v>396</v>
      </c>
      <c r="C8" s="12">
        <v>2010</v>
      </c>
      <c r="E8" s="4"/>
      <c r="F8" s="4">
        <v>2007</v>
      </c>
      <c r="G8" s="11">
        <v>2008</v>
      </c>
      <c r="H8" s="4">
        <v>2009</v>
      </c>
      <c r="I8" s="3">
        <v>2010</v>
      </c>
      <c r="J8" s="3">
        <v>2011</v>
      </c>
      <c r="K8" s="3"/>
      <c r="L8" s="4" t="s">
        <v>96</v>
      </c>
    </row>
    <row r="9" spans="1:13" x14ac:dyDescent="0.25">
      <c r="A9" s="12" t="s">
        <v>6</v>
      </c>
      <c r="B9" s="12">
        <v>7504</v>
      </c>
      <c r="C9" s="12">
        <v>2010</v>
      </c>
      <c r="E9" s="4" t="s">
        <v>83</v>
      </c>
      <c r="F9" s="4">
        <f>SUMIFS(B2:B61,A2:A61,"Garantito",C2:C61,"2007")</f>
        <v>36557</v>
      </c>
      <c r="G9" s="4">
        <f>SUMIFS(B2:B61,A2:A61,"Garantito",C2:C61,"2008")</f>
        <v>49731</v>
      </c>
      <c r="H9" s="4">
        <f>SUMIFS(B2:B61,A2:A61,"Garantito",C2:C61,"2009")</f>
        <v>56486</v>
      </c>
      <c r="I9" s="4">
        <f>SUMIFS(B2:B61,A2:A61,"Garantito",C2:C61,"2010")</f>
        <v>63847</v>
      </c>
      <c r="J9" s="4">
        <f>SUMIFS(B2:B61,A2:A61,"Garantito",C2:C61,"2011")</f>
        <v>66058</v>
      </c>
      <c r="L9" s="4">
        <f>SUM(F9:J9)</f>
        <v>272679</v>
      </c>
    </row>
    <row r="10" spans="1:13" x14ac:dyDescent="0.25">
      <c r="A10" s="12" t="s">
        <v>5</v>
      </c>
      <c r="B10" s="12">
        <v>571</v>
      </c>
      <c r="C10" s="12">
        <v>2011</v>
      </c>
      <c r="E10" s="4" t="s">
        <v>84</v>
      </c>
      <c r="F10" s="4">
        <f>SUMIFS(B2:B61,A2:A61,"Bilanciato",C3:C62,"2007")</f>
        <v>125281</v>
      </c>
      <c r="G10" s="11">
        <f>SUMIFS(B2:B61,A2:A61,"Bilanciato",C2:C61,"2008")</f>
        <v>146529</v>
      </c>
      <c r="H10" s="11">
        <f>SUMIFS(B2:B61,A2:A61,"Bilanciato",C2:C61,"2009")</f>
        <v>140894</v>
      </c>
      <c r="I10" s="11">
        <f>SUMIFS(B2:B61,A2:A61,"Bilanciato",C2:C61,"2010")</f>
        <v>135852</v>
      </c>
      <c r="J10" s="11">
        <f>SUMIFS(B2:B61,A2:A61,"Bilanciato",C2:C61,"2011")</f>
        <v>131559</v>
      </c>
      <c r="K10" s="11"/>
      <c r="L10" s="4">
        <f>SUM(F10:J10)</f>
        <v>680115</v>
      </c>
    </row>
    <row r="11" spans="1:13" x14ac:dyDescent="0.25">
      <c r="A11" s="12" t="s">
        <v>72</v>
      </c>
      <c r="B11" s="12">
        <v>7483</v>
      </c>
      <c r="C11" s="12">
        <v>2011</v>
      </c>
      <c r="E11" s="4"/>
      <c r="F11" s="4">
        <f t="shared" ref="F11:L11" si="0">SUM(F9:F10)</f>
        <v>161838</v>
      </c>
      <c r="G11" s="4">
        <f t="shared" si="0"/>
        <v>196260</v>
      </c>
      <c r="H11" s="4">
        <f t="shared" si="0"/>
        <v>197380</v>
      </c>
      <c r="I11" s="4">
        <f t="shared" si="0"/>
        <v>199699</v>
      </c>
      <c r="J11" s="4">
        <f t="shared" si="0"/>
        <v>197617</v>
      </c>
      <c r="L11" s="4">
        <f t="shared" si="0"/>
        <v>952794</v>
      </c>
    </row>
    <row r="12" spans="1:13" x14ac:dyDescent="0.25">
      <c r="A12" s="12" t="s">
        <v>5</v>
      </c>
      <c r="B12" s="12">
        <f>1029-114</f>
        <v>915</v>
      </c>
      <c r="C12" s="12">
        <v>2007</v>
      </c>
      <c r="D12" s="5"/>
      <c r="E12" s="4"/>
      <c r="F12" s="4"/>
      <c r="I12" s="3"/>
      <c r="J12" s="3"/>
      <c r="K12" s="3"/>
      <c r="L12" s="4">
        <f>L9/L11</f>
        <v>0.28618882990447042</v>
      </c>
    </row>
    <row r="13" spans="1:13" x14ac:dyDescent="0.25">
      <c r="A13" s="12" t="s">
        <v>6</v>
      </c>
      <c r="B13" s="12">
        <v>6980</v>
      </c>
      <c r="C13" s="12">
        <v>2007</v>
      </c>
      <c r="D13" s="3"/>
      <c r="E13" s="4"/>
      <c r="F13" s="4"/>
      <c r="I13" s="3"/>
      <c r="J13" s="3"/>
      <c r="K13" s="3"/>
    </row>
    <row r="14" spans="1:13" x14ac:dyDescent="0.25">
      <c r="A14" s="12" t="s">
        <v>5</v>
      </c>
      <c r="B14" s="12">
        <v>1340</v>
      </c>
      <c r="C14" s="12">
        <v>2008</v>
      </c>
      <c r="D14" s="5"/>
      <c r="H14" s="7"/>
      <c r="I14" s="3"/>
      <c r="J14" s="3"/>
      <c r="K14" s="3"/>
    </row>
    <row r="15" spans="1:13" x14ac:dyDescent="0.25">
      <c r="A15" s="12" t="s">
        <v>6</v>
      </c>
      <c r="B15" s="12">
        <v>6703</v>
      </c>
      <c r="C15" s="12">
        <v>2008</v>
      </c>
      <c r="D15" s="5"/>
      <c r="E15" s="4"/>
      <c r="F15" s="4">
        <v>2007</v>
      </c>
      <c r="G15" s="11">
        <v>2008</v>
      </c>
      <c r="H15" s="4">
        <v>2009</v>
      </c>
      <c r="I15" s="3">
        <v>2010</v>
      </c>
      <c r="J15" s="3">
        <v>2011</v>
      </c>
      <c r="K15" s="3"/>
    </row>
    <row r="16" spans="1:13" x14ac:dyDescent="0.25">
      <c r="A16" s="12" t="s">
        <v>5</v>
      </c>
      <c r="B16" s="12">
        <v>1495</v>
      </c>
      <c r="C16" s="12">
        <v>2009</v>
      </c>
      <c r="D16" s="5"/>
      <c r="E16" s="4" t="s">
        <v>83</v>
      </c>
      <c r="F16" s="8">
        <f>F9/F11</f>
        <v>0.22588638020736787</v>
      </c>
      <c r="G16" s="8">
        <f>G9/G11</f>
        <v>0.25339345765820848</v>
      </c>
      <c r="H16" s="8">
        <f>H9/H11</f>
        <v>0.28617894416860878</v>
      </c>
      <c r="I16" s="8">
        <f>I9/I11</f>
        <v>0.31971617284012438</v>
      </c>
      <c r="J16" s="8">
        <f>J9/J11</f>
        <v>0.33427286114048893</v>
      </c>
      <c r="K16" s="4" t="s">
        <v>83</v>
      </c>
      <c r="L16" s="8">
        <f>AVERAGE(F16:J16)</f>
        <v>0.28388956320295966</v>
      </c>
    </row>
    <row r="17" spans="1:13" x14ac:dyDescent="0.25">
      <c r="A17" s="12" t="s">
        <v>6</v>
      </c>
      <c r="B17" s="12">
        <v>6336</v>
      </c>
      <c r="C17" s="12">
        <v>2009</v>
      </c>
      <c r="D17" s="5"/>
      <c r="E17" s="4" t="s">
        <v>84</v>
      </c>
      <c r="F17" s="8">
        <f>F10/F11</f>
        <v>0.77411361979263216</v>
      </c>
      <c r="G17" s="14">
        <f>G10/G11</f>
        <v>0.74660654234179147</v>
      </c>
      <c r="H17" s="14">
        <f>H10/H11</f>
        <v>0.71382105583139122</v>
      </c>
      <c r="I17" s="14">
        <f>I10/I11</f>
        <v>0.68028382715987556</v>
      </c>
      <c r="J17" s="14">
        <f>J10/J11</f>
        <v>0.66572713885951107</v>
      </c>
      <c r="K17" s="4" t="s">
        <v>84</v>
      </c>
      <c r="L17" s="14">
        <f>AVERAGE(F17:J17)</f>
        <v>0.71611043679704023</v>
      </c>
      <c r="M17"/>
    </row>
    <row r="18" spans="1:13" x14ac:dyDescent="0.25">
      <c r="A18" s="12" t="s">
        <v>5</v>
      </c>
      <c r="B18" s="12">
        <v>1517</v>
      </c>
      <c r="C18" s="12">
        <v>2010</v>
      </c>
      <c r="D18" s="5"/>
      <c r="E18" s="4"/>
      <c r="F18" s="4"/>
      <c r="H18" s="7"/>
      <c r="I18" s="3"/>
      <c r="J18" s="3"/>
      <c r="K18" s="3"/>
      <c r="L18"/>
      <c r="M18"/>
    </row>
    <row r="19" spans="1:13" x14ac:dyDescent="0.25">
      <c r="A19" s="12" t="s">
        <v>6</v>
      </c>
      <c r="B19" s="12">
        <v>6102</v>
      </c>
      <c r="C19" s="12">
        <v>2010</v>
      </c>
      <c r="D19" s="5"/>
      <c r="E19" s="4"/>
      <c r="F19" s="4"/>
      <c r="H19" s="7"/>
      <c r="I19" s="3"/>
      <c r="J19" s="3"/>
      <c r="K19" s="3"/>
      <c r="L19"/>
      <c r="M19"/>
    </row>
    <row r="20" spans="1:13" x14ac:dyDescent="0.25">
      <c r="A20" s="12" t="s">
        <v>5</v>
      </c>
      <c r="B20" s="12">
        <v>1282</v>
      </c>
      <c r="C20" s="12">
        <v>2011</v>
      </c>
      <c r="D20" s="5"/>
      <c r="E20" s="4"/>
      <c r="F20" s="4"/>
      <c r="H20" s="7"/>
      <c r="I20" s="3"/>
      <c r="J20" s="3"/>
      <c r="K20" s="3"/>
      <c r="L20"/>
      <c r="M20"/>
    </row>
    <row r="21" spans="1:13" x14ac:dyDescent="0.25">
      <c r="A21" s="12" t="s">
        <v>6</v>
      </c>
      <c r="B21" s="12">
        <v>5883</v>
      </c>
      <c r="C21" s="12">
        <v>2011</v>
      </c>
      <c r="D21" s="5"/>
      <c r="E21" s="4"/>
      <c r="F21" s="4"/>
      <c r="H21" s="7"/>
      <c r="I21" s="3"/>
      <c r="J21" s="3"/>
      <c r="K21" s="3"/>
      <c r="L21"/>
      <c r="M21"/>
    </row>
    <row r="22" spans="1:13" x14ac:dyDescent="0.25">
      <c r="A22" s="12" t="s">
        <v>5</v>
      </c>
      <c r="B22" s="12">
        <f>31758-5760</f>
        <v>25998</v>
      </c>
      <c r="C22" s="12">
        <v>2007</v>
      </c>
      <c r="D22" s="5"/>
      <c r="E22" s="4"/>
      <c r="F22" s="4"/>
      <c r="I22" s="3"/>
      <c r="J22" s="3"/>
      <c r="K22" s="3"/>
      <c r="L22"/>
      <c r="M22"/>
    </row>
    <row r="23" spans="1:13" x14ac:dyDescent="0.25">
      <c r="A23" s="12" t="s">
        <v>6</v>
      </c>
      <c r="B23" s="12">
        <v>49759</v>
      </c>
      <c r="C23" s="12">
        <v>2007</v>
      </c>
      <c r="D23" s="3"/>
      <c r="E23" s="4" t="s">
        <v>85</v>
      </c>
      <c r="F23" s="8">
        <f>(F9/F11*100)^2</f>
        <v>510.24656763187556</v>
      </c>
      <c r="G23" s="14">
        <f t="shared" ref="G23:J24" si="1">(G16*100)^2</f>
        <v>642.08244383982299</v>
      </c>
      <c r="H23" s="8">
        <f t="shared" si="1"/>
        <v>818.98388085459703</v>
      </c>
      <c r="I23" s="8">
        <f t="shared" si="1"/>
        <v>1022.184311755363</v>
      </c>
      <c r="J23" s="8">
        <f t="shared" si="1"/>
        <v>1117.3834569504857</v>
      </c>
      <c r="K23" s="8"/>
      <c r="L23" s="18">
        <f>(L16*100)^2</f>
        <v>805.93284095567242</v>
      </c>
      <c r="M23"/>
    </row>
    <row r="24" spans="1:13" x14ac:dyDescent="0.25">
      <c r="A24" s="12" t="s">
        <v>5</v>
      </c>
      <c r="B24" s="12">
        <f>41314-7346</f>
        <v>33968</v>
      </c>
      <c r="C24" s="12">
        <v>2008</v>
      </c>
      <c r="D24" s="5"/>
      <c r="E24" s="4"/>
      <c r="F24" s="8">
        <f>(F17*100)^2</f>
        <v>5992.5189634845192</v>
      </c>
      <c r="G24" s="14">
        <f t="shared" si="1"/>
        <v>5574.2132906756524</v>
      </c>
      <c r="H24" s="8">
        <f t="shared" si="1"/>
        <v>5095.4049974824211</v>
      </c>
      <c r="I24" s="8">
        <f t="shared" si="1"/>
        <v>4627.8608549528753</v>
      </c>
      <c r="J24" s="8">
        <f t="shared" si="1"/>
        <v>4431.9262341407066</v>
      </c>
      <c r="K24" s="8"/>
      <c r="L24" s="18">
        <f>(L17*100)^2</f>
        <v>5128.141576896478</v>
      </c>
      <c r="M24"/>
    </row>
    <row r="25" spans="1:13" x14ac:dyDescent="0.25">
      <c r="A25" s="12" t="s">
        <v>6</v>
      </c>
      <c r="B25" s="12">
        <v>42576</v>
      </c>
      <c r="C25" s="12">
        <v>2008</v>
      </c>
      <c r="D25" s="5"/>
      <c r="E25" s="4"/>
      <c r="F25" s="4"/>
      <c r="I25" s="3"/>
      <c r="J25" s="3"/>
      <c r="K25" s="3"/>
      <c r="L25"/>
      <c r="M25"/>
    </row>
    <row r="26" spans="1:13" x14ac:dyDescent="0.25">
      <c r="A26" s="12" t="s">
        <v>5</v>
      </c>
      <c r="B26" s="12">
        <f>44598-8266</f>
        <v>36332</v>
      </c>
      <c r="C26" s="12">
        <v>2009</v>
      </c>
      <c r="D26" s="5"/>
      <c r="E26" s="4"/>
      <c r="F26" s="4"/>
      <c r="H26" s="7"/>
      <c r="I26" s="3"/>
      <c r="J26" s="3"/>
      <c r="K26" s="3"/>
      <c r="L26"/>
      <c r="M26"/>
    </row>
    <row r="27" spans="1:13" x14ac:dyDescent="0.25">
      <c r="A27" s="12" t="s">
        <v>6</v>
      </c>
      <c r="B27" s="12">
        <v>41173</v>
      </c>
      <c r="C27" s="12">
        <v>2009</v>
      </c>
      <c r="D27" s="5"/>
      <c r="E27" s="4"/>
      <c r="F27" s="4"/>
      <c r="H27" s="7"/>
      <c r="I27" s="3"/>
      <c r="J27" s="3"/>
      <c r="K27" s="3"/>
      <c r="L27"/>
      <c r="M27"/>
    </row>
    <row r="28" spans="1:13" x14ac:dyDescent="0.25">
      <c r="A28" s="12" t="s">
        <v>5</v>
      </c>
      <c r="B28" s="12">
        <f>49724-8556</f>
        <v>41168</v>
      </c>
      <c r="C28" s="12">
        <v>2010</v>
      </c>
      <c r="D28" s="5"/>
      <c r="E28" s="4"/>
      <c r="F28" s="4"/>
      <c r="H28" s="7"/>
      <c r="I28" s="3"/>
      <c r="J28" s="3"/>
      <c r="K28" s="3"/>
      <c r="L28"/>
      <c r="M28"/>
    </row>
    <row r="29" spans="1:13" x14ac:dyDescent="0.25">
      <c r="A29" s="12" t="s">
        <v>6</v>
      </c>
      <c r="B29" s="12">
        <v>40100</v>
      </c>
      <c r="C29" s="12">
        <v>2010</v>
      </c>
      <c r="D29" s="5"/>
      <c r="E29" s="4"/>
      <c r="F29" s="4"/>
      <c r="H29" s="7"/>
      <c r="I29" s="3"/>
      <c r="J29" s="3"/>
      <c r="K29" s="3"/>
      <c r="L29"/>
      <c r="M29"/>
    </row>
    <row r="30" spans="1:13" x14ac:dyDescent="0.25">
      <c r="A30" s="12" t="s">
        <v>5</v>
      </c>
      <c r="B30" s="12">
        <v>42649</v>
      </c>
      <c r="C30" s="12">
        <v>2011</v>
      </c>
      <c r="D30" s="5"/>
      <c r="E30" s="4"/>
      <c r="F30" s="4"/>
      <c r="H30" s="7"/>
      <c r="I30" s="3"/>
      <c r="J30" s="3"/>
      <c r="K30" s="3"/>
      <c r="L30"/>
      <c r="M30"/>
    </row>
    <row r="31" spans="1:13" x14ac:dyDescent="0.25">
      <c r="A31" s="12" t="s">
        <v>6</v>
      </c>
      <c r="B31" s="12">
        <v>39360</v>
      </c>
      <c r="C31" s="12">
        <v>2011</v>
      </c>
      <c r="D31" s="5"/>
      <c r="E31" s="4"/>
      <c r="F31" s="4"/>
      <c r="H31" s="7"/>
      <c r="I31" s="3"/>
      <c r="J31" s="3"/>
      <c r="K31" s="3"/>
      <c r="L31"/>
      <c r="M31"/>
    </row>
    <row r="32" spans="1:13" x14ac:dyDescent="0.25">
      <c r="A32" s="12" t="s">
        <v>5</v>
      </c>
      <c r="B32" s="12">
        <f>2872-861</f>
        <v>2011</v>
      </c>
      <c r="C32" s="12">
        <v>2007</v>
      </c>
      <c r="D32" s="3"/>
      <c r="E32" s="4"/>
      <c r="F32" s="4"/>
      <c r="H32" s="7"/>
      <c r="J32" s="3"/>
      <c r="K32" s="3"/>
      <c r="L32"/>
      <c r="M32"/>
    </row>
    <row r="33" spans="1:13" x14ac:dyDescent="0.25">
      <c r="A33" s="12" t="s">
        <v>6</v>
      </c>
      <c r="B33" s="12">
        <v>50584</v>
      </c>
      <c r="C33" s="12">
        <v>2007</v>
      </c>
      <c r="D33" s="5"/>
      <c r="E33" s="4"/>
      <c r="F33" s="4"/>
      <c r="H33" s="7"/>
      <c r="J33" s="3"/>
      <c r="K33" s="3"/>
      <c r="L33"/>
      <c r="M33"/>
    </row>
    <row r="34" spans="1:13" x14ac:dyDescent="0.25">
      <c r="A34" s="12" t="s">
        <v>5</v>
      </c>
      <c r="B34" s="12">
        <f>4782-1431</f>
        <v>3351</v>
      </c>
      <c r="C34" s="12">
        <v>2008</v>
      </c>
      <c r="D34" s="5"/>
      <c r="E34" s="4"/>
      <c r="F34" s="4"/>
      <c r="H34" s="7"/>
      <c r="J34" s="3"/>
      <c r="K34" s="3"/>
      <c r="L34"/>
      <c r="M34"/>
    </row>
    <row r="35" spans="1:13" x14ac:dyDescent="0.25">
      <c r="A35" s="12" t="s">
        <v>6</v>
      </c>
      <c r="B35" s="12">
        <v>51001</v>
      </c>
      <c r="C35" s="12">
        <v>2008</v>
      </c>
      <c r="D35" s="5"/>
      <c r="E35" s="4"/>
      <c r="F35" s="4"/>
      <c r="H35" s="7"/>
      <c r="J35" s="3"/>
      <c r="K35" s="3"/>
      <c r="L35"/>
      <c r="M35"/>
    </row>
    <row r="36" spans="1:13" x14ac:dyDescent="0.25">
      <c r="A36" s="12" t="s">
        <v>5</v>
      </c>
      <c r="B36" s="12">
        <f>5475-1520</f>
        <v>3955</v>
      </c>
      <c r="C36" s="12">
        <v>2009</v>
      </c>
      <c r="D36" s="5"/>
      <c r="E36" s="4"/>
      <c r="F36" s="4"/>
      <c r="H36" s="7"/>
      <c r="J36" s="3"/>
      <c r="K36" s="3"/>
      <c r="L36"/>
      <c r="M36"/>
    </row>
    <row r="37" spans="1:13" x14ac:dyDescent="0.25">
      <c r="A37" s="12" t="s">
        <v>6</v>
      </c>
      <c r="B37" s="12">
        <v>47765</v>
      </c>
      <c r="C37" s="12">
        <v>2009</v>
      </c>
      <c r="D37" s="5"/>
      <c r="E37" s="4"/>
      <c r="F37" s="4"/>
      <c r="H37" s="7"/>
      <c r="J37" s="3"/>
      <c r="K37" s="3"/>
      <c r="L37"/>
      <c r="M37"/>
    </row>
    <row r="38" spans="1:13" x14ac:dyDescent="0.25">
      <c r="A38" s="12" t="s">
        <v>5</v>
      </c>
      <c r="B38" s="12">
        <f>5809-1578</f>
        <v>4231</v>
      </c>
      <c r="C38" s="12">
        <v>2010</v>
      </c>
      <c r="D38" s="5"/>
      <c r="E38" s="4"/>
      <c r="F38" s="4"/>
      <c r="H38" s="7"/>
      <c r="J38" s="3"/>
      <c r="K38" s="3"/>
      <c r="L38"/>
      <c r="M38"/>
    </row>
    <row r="39" spans="1:13" x14ac:dyDescent="0.25">
      <c r="A39" s="12" t="s">
        <v>6</v>
      </c>
      <c r="B39" s="12">
        <v>44327</v>
      </c>
      <c r="C39" s="12">
        <v>2010</v>
      </c>
      <c r="D39" s="5"/>
      <c r="E39" s="4"/>
      <c r="F39" s="4"/>
      <c r="H39" s="7"/>
      <c r="J39" s="3"/>
      <c r="K39" s="3"/>
      <c r="L39"/>
      <c r="M39"/>
    </row>
    <row r="40" spans="1:13" x14ac:dyDescent="0.25">
      <c r="A40" s="12" t="s">
        <v>5</v>
      </c>
      <c r="B40" s="12">
        <v>3615</v>
      </c>
      <c r="C40" s="12">
        <v>2011</v>
      </c>
      <c r="D40" s="5"/>
      <c r="E40" s="4"/>
      <c r="F40" s="4"/>
      <c r="H40" s="7"/>
      <c r="I40" s="3"/>
      <c r="J40" s="3"/>
      <c r="K40" s="3"/>
      <c r="L40"/>
      <c r="M40"/>
    </row>
    <row r="41" spans="1:13" x14ac:dyDescent="0.25">
      <c r="A41" s="12" t="s">
        <v>6</v>
      </c>
      <c r="B41" s="12">
        <v>41560</v>
      </c>
      <c r="C41" s="12">
        <v>2011</v>
      </c>
      <c r="D41" s="5"/>
      <c r="E41" s="4"/>
      <c r="F41" s="4"/>
      <c r="H41" s="7"/>
      <c r="J41" s="3"/>
      <c r="K41" s="3"/>
      <c r="L41"/>
      <c r="M41"/>
    </row>
    <row r="42" spans="1:13" x14ac:dyDescent="0.25">
      <c r="A42" s="12" t="s">
        <v>5</v>
      </c>
      <c r="B42" s="12">
        <f>8800-1167</f>
        <v>7633</v>
      </c>
      <c r="C42" s="12">
        <v>2007</v>
      </c>
      <c r="D42" s="5"/>
      <c r="E42" s="4"/>
      <c r="F42" s="4"/>
      <c r="H42" s="7"/>
      <c r="J42" s="3"/>
      <c r="K42" s="3"/>
      <c r="L42"/>
      <c r="M42"/>
    </row>
    <row r="43" spans="1:13" x14ac:dyDescent="0.25">
      <c r="A43" s="12" t="s">
        <v>10</v>
      </c>
      <c r="B43" s="12">
        <v>30252</v>
      </c>
      <c r="C43" s="12">
        <v>2007</v>
      </c>
      <c r="D43" s="3"/>
      <c r="E43" s="4"/>
      <c r="F43" s="4"/>
      <c r="H43" s="7"/>
      <c r="J43" s="3"/>
      <c r="K43" s="3"/>
      <c r="L43"/>
      <c r="M43"/>
    </row>
    <row r="44" spans="1:13" x14ac:dyDescent="0.25">
      <c r="A44" s="12" t="s">
        <v>5</v>
      </c>
      <c r="B44" s="12">
        <f>13314-2478</f>
        <v>10836</v>
      </c>
      <c r="C44" s="12">
        <v>2008</v>
      </c>
      <c r="D44" s="5"/>
      <c r="E44" s="4"/>
      <c r="F44" s="4"/>
      <c r="J44" s="3"/>
      <c r="K44" s="3"/>
      <c r="L44"/>
      <c r="M44"/>
    </row>
    <row r="45" spans="1:13" x14ac:dyDescent="0.25">
      <c r="A45" s="12" t="s">
        <v>6</v>
      </c>
      <c r="B45" s="12">
        <v>32024</v>
      </c>
      <c r="C45" s="12">
        <v>2008</v>
      </c>
      <c r="D45" s="5"/>
      <c r="E45" s="4"/>
      <c r="F45" s="4"/>
      <c r="J45" s="3"/>
      <c r="K45" s="3"/>
      <c r="L45"/>
      <c r="M45"/>
    </row>
    <row r="46" spans="1:13" x14ac:dyDescent="0.25">
      <c r="A46" s="12" t="s">
        <v>5</v>
      </c>
      <c r="B46" s="12">
        <f>15628-1563</f>
        <v>14065</v>
      </c>
      <c r="C46" s="12">
        <v>2009</v>
      </c>
      <c r="D46" s="5"/>
      <c r="E46" s="4"/>
      <c r="F46" s="4"/>
      <c r="J46" s="3"/>
      <c r="K46" s="3"/>
      <c r="L46"/>
      <c r="M46"/>
    </row>
    <row r="47" spans="1:13" x14ac:dyDescent="0.25">
      <c r="A47" s="12" t="s">
        <v>6</v>
      </c>
      <c r="B47" s="12">
        <v>31577</v>
      </c>
      <c r="C47" s="12">
        <v>2009</v>
      </c>
      <c r="D47" s="5"/>
      <c r="E47" s="4"/>
      <c r="F47" s="4"/>
      <c r="J47" s="3"/>
      <c r="K47" s="3"/>
      <c r="L47"/>
      <c r="M47"/>
    </row>
    <row r="48" spans="1:13" x14ac:dyDescent="0.25">
      <c r="A48" s="12" t="s">
        <v>5</v>
      </c>
      <c r="B48" s="12">
        <f>17732-1537</f>
        <v>16195</v>
      </c>
      <c r="C48" s="12">
        <v>2010</v>
      </c>
      <c r="D48" s="5"/>
      <c r="E48" s="4"/>
      <c r="F48" s="4"/>
      <c r="J48" s="3"/>
      <c r="K48" s="3"/>
      <c r="L48"/>
      <c r="M48"/>
    </row>
    <row r="49" spans="1:13" x14ac:dyDescent="0.25">
      <c r="A49" s="12" t="s">
        <v>6</v>
      </c>
      <c r="B49" s="12">
        <v>31229</v>
      </c>
      <c r="C49" s="12">
        <v>2010</v>
      </c>
      <c r="D49" s="5"/>
      <c r="E49" s="4"/>
      <c r="F49" s="4"/>
      <c r="J49" s="3"/>
      <c r="K49" s="3"/>
      <c r="L49"/>
      <c r="M49"/>
    </row>
    <row r="50" spans="1:13" x14ac:dyDescent="0.25">
      <c r="A50" s="12" t="s">
        <v>5</v>
      </c>
      <c r="B50" s="12">
        <v>17402</v>
      </c>
      <c r="C50" s="12">
        <v>2011</v>
      </c>
      <c r="D50" s="5"/>
      <c r="E50" s="4"/>
      <c r="F50" s="4"/>
      <c r="I50" s="3"/>
      <c r="J50" s="3"/>
      <c r="K50" s="3"/>
      <c r="L50"/>
      <c r="M50"/>
    </row>
    <row r="51" spans="1:13" x14ac:dyDescent="0.25">
      <c r="A51" s="12" t="s">
        <v>6</v>
      </c>
      <c r="B51" s="12">
        <v>30995</v>
      </c>
      <c r="C51" s="12">
        <v>2011</v>
      </c>
      <c r="D51" s="5"/>
      <c r="E51" s="4"/>
      <c r="F51" s="4"/>
      <c r="I51" s="3"/>
      <c r="J51" s="3"/>
      <c r="K51" s="3"/>
      <c r="L51"/>
      <c r="M51"/>
    </row>
    <row r="52" spans="1:13" x14ac:dyDescent="0.25">
      <c r="A52" s="12" t="s">
        <v>5</v>
      </c>
      <c r="B52" s="12">
        <v>0</v>
      </c>
      <c r="C52" s="12">
        <v>2007</v>
      </c>
      <c r="D52" s="3"/>
      <c r="E52" s="4"/>
      <c r="F52" s="4"/>
      <c r="J52" s="3"/>
      <c r="K52" s="3"/>
      <c r="L52"/>
      <c r="M52"/>
    </row>
    <row r="53" spans="1:13" x14ac:dyDescent="0.25">
      <c r="A53" s="12" t="s">
        <v>6</v>
      </c>
      <c r="B53" s="12">
        <v>6052</v>
      </c>
      <c r="C53" s="12">
        <v>2007</v>
      </c>
      <c r="D53" s="5"/>
      <c r="E53" s="4"/>
      <c r="F53" s="4"/>
      <c r="J53" s="3"/>
      <c r="K53" s="3"/>
      <c r="L53"/>
      <c r="M53"/>
    </row>
    <row r="54" spans="1:13" x14ac:dyDescent="0.25">
      <c r="A54" s="12" t="s">
        <v>5</v>
      </c>
      <c r="B54" s="12">
        <f>2030-1870</f>
        <v>160</v>
      </c>
      <c r="C54" s="12">
        <v>2008</v>
      </c>
      <c r="D54" s="5"/>
      <c r="E54" s="4"/>
      <c r="F54" s="4"/>
      <c r="J54" s="3"/>
      <c r="K54" s="3"/>
      <c r="L54"/>
      <c r="M54"/>
    </row>
    <row r="55" spans="1:13" x14ac:dyDescent="0.25">
      <c r="A55" s="12" t="s">
        <v>6</v>
      </c>
      <c r="B55" s="12">
        <v>6513</v>
      </c>
      <c r="C55" s="12">
        <v>2008</v>
      </c>
      <c r="D55" s="5"/>
      <c r="E55" s="4"/>
      <c r="F55" s="4"/>
      <c r="J55" s="3"/>
      <c r="K55" s="3"/>
      <c r="L55"/>
      <c r="M55"/>
    </row>
    <row r="56" spans="1:13" x14ac:dyDescent="0.25">
      <c r="A56" s="12" t="s">
        <v>5</v>
      </c>
      <c r="B56" s="12">
        <f>2364-2030</f>
        <v>334</v>
      </c>
      <c r="C56" s="12">
        <v>2009</v>
      </c>
      <c r="D56" s="5"/>
      <c r="E56" s="4"/>
      <c r="F56" s="4"/>
      <c r="J56" s="3"/>
      <c r="K56" s="3"/>
      <c r="L56"/>
      <c r="M56"/>
    </row>
    <row r="57" spans="1:13" x14ac:dyDescent="0.25">
      <c r="A57" s="12" t="s">
        <v>6</v>
      </c>
      <c r="B57" s="12">
        <v>6433</v>
      </c>
      <c r="C57" s="12">
        <v>2009</v>
      </c>
      <c r="D57" s="3"/>
      <c r="E57" s="4"/>
      <c r="F57" s="4"/>
      <c r="J57" s="3"/>
      <c r="K57" s="3"/>
      <c r="L57"/>
      <c r="M57"/>
    </row>
    <row r="58" spans="1:13" x14ac:dyDescent="0.25">
      <c r="A58" s="12" t="s">
        <v>5</v>
      </c>
      <c r="B58" s="12">
        <f>2370-2030</f>
        <v>340</v>
      </c>
      <c r="C58" s="12">
        <v>2010</v>
      </c>
      <c r="D58" s="3"/>
      <c r="E58" s="4"/>
      <c r="F58" s="4"/>
      <c r="J58" s="3"/>
      <c r="K58" s="3"/>
      <c r="L58"/>
      <c r="M58"/>
    </row>
    <row r="59" spans="1:13" x14ac:dyDescent="0.25">
      <c r="A59" s="12" t="s">
        <v>6</v>
      </c>
      <c r="B59" s="12">
        <v>6590</v>
      </c>
      <c r="C59" s="12">
        <v>2010</v>
      </c>
      <c r="D59" s="3"/>
      <c r="E59" s="4"/>
      <c r="F59" s="4"/>
      <c r="J59" s="3"/>
      <c r="K59" s="3"/>
      <c r="L59"/>
      <c r="M59"/>
    </row>
    <row r="60" spans="1:13" x14ac:dyDescent="0.25">
      <c r="A60" s="12" t="s">
        <v>5</v>
      </c>
      <c r="B60" s="12">
        <v>539</v>
      </c>
      <c r="C60" s="12">
        <v>2011</v>
      </c>
      <c r="D60" s="3"/>
      <c r="E60" s="4"/>
      <c r="F60" s="4"/>
      <c r="I60" s="3"/>
      <c r="J60" s="3"/>
      <c r="K60" s="3"/>
      <c r="L60"/>
      <c r="M60"/>
    </row>
    <row r="61" spans="1:13" x14ac:dyDescent="0.25">
      <c r="A61" s="12" t="s">
        <v>6</v>
      </c>
      <c r="B61" s="12">
        <v>6278</v>
      </c>
      <c r="C61" s="12">
        <v>2011</v>
      </c>
      <c r="D61" s="3"/>
      <c r="E61" s="4"/>
      <c r="F61" s="4"/>
      <c r="J61" s="3"/>
      <c r="K61" s="3"/>
      <c r="L61"/>
      <c r="M61"/>
    </row>
    <row r="62" spans="1:13" x14ac:dyDescent="0.25">
      <c r="H62" s="7"/>
      <c r="I62" s="3"/>
      <c r="L62"/>
      <c r="M62"/>
    </row>
    <row r="63" spans="1:13" x14ac:dyDescent="0.25">
      <c r="H63" s="7"/>
      <c r="I63" s="3"/>
      <c r="L63"/>
      <c r="M63"/>
    </row>
    <row r="64" spans="1:13" x14ac:dyDescent="0.25">
      <c r="H64" s="7"/>
      <c r="I64" s="3"/>
      <c r="L64"/>
      <c r="M64"/>
    </row>
    <row r="65" spans="1:13" x14ac:dyDescent="0.25">
      <c r="A65"/>
      <c r="B65"/>
      <c r="C65"/>
      <c r="D65"/>
      <c r="E65"/>
      <c r="F65"/>
      <c r="G65"/>
      <c r="H65" s="7"/>
      <c r="I65" s="3"/>
      <c r="J65"/>
      <c r="K65"/>
      <c r="L65"/>
      <c r="M65"/>
    </row>
    <row r="66" spans="1:13" x14ac:dyDescent="0.25">
      <c r="A66"/>
      <c r="B66"/>
      <c r="C66"/>
      <c r="D66"/>
      <c r="E66"/>
      <c r="F66"/>
      <c r="G66"/>
      <c r="H66" s="7"/>
      <c r="I66" s="3"/>
      <c r="J66"/>
      <c r="K66"/>
      <c r="L66"/>
      <c r="M66"/>
    </row>
    <row r="67" spans="1:13" x14ac:dyDescent="0.25">
      <c r="A67"/>
      <c r="B67"/>
      <c r="C67"/>
      <c r="D67"/>
      <c r="E67"/>
      <c r="F67"/>
      <c r="G67"/>
      <c r="I67" s="3"/>
      <c r="J67"/>
      <c r="K67"/>
      <c r="L67"/>
      <c r="M67"/>
    </row>
    <row r="68" spans="1:13" x14ac:dyDescent="0.25">
      <c r="A68"/>
      <c r="B68"/>
      <c r="C68"/>
      <c r="D68"/>
      <c r="E68"/>
      <c r="F68"/>
      <c r="G68"/>
      <c r="I68" s="3"/>
      <c r="J68"/>
      <c r="K68"/>
      <c r="L68"/>
      <c r="M68"/>
    </row>
    <row r="69" spans="1:13" x14ac:dyDescent="0.25">
      <c r="A69"/>
      <c r="B69"/>
      <c r="C69"/>
      <c r="D69"/>
      <c r="E69"/>
      <c r="F69"/>
      <c r="G69"/>
      <c r="I69" s="3"/>
      <c r="J69"/>
      <c r="K69"/>
      <c r="L69"/>
      <c r="M69"/>
    </row>
    <row r="70" spans="1:13" x14ac:dyDescent="0.25">
      <c r="A70"/>
      <c r="B70"/>
      <c r="C70"/>
      <c r="D70"/>
      <c r="E70"/>
      <c r="F70"/>
      <c r="G70"/>
      <c r="I70" s="3"/>
      <c r="J70"/>
      <c r="K70"/>
      <c r="L70"/>
      <c r="M70"/>
    </row>
    <row r="71" spans="1:13" x14ac:dyDescent="0.25">
      <c r="A71"/>
      <c r="B71"/>
      <c r="C71"/>
      <c r="D71"/>
      <c r="E71"/>
      <c r="F71"/>
      <c r="G71"/>
      <c r="I71" s="3"/>
      <c r="J71"/>
      <c r="K71"/>
      <c r="L71"/>
      <c r="M71"/>
    </row>
    <row r="72" spans="1:13" x14ac:dyDescent="0.25">
      <c r="A72"/>
      <c r="B72"/>
      <c r="C72"/>
      <c r="D72"/>
      <c r="E72"/>
      <c r="F72"/>
      <c r="G72"/>
      <c r="H72" s="7"/>
      <c r="I72" s="3"/>
      <c r="J72"/>
      <c r="K72"/>
      <c r="L72"/>
      <c r="M72"/>
    </row>
    <row r="73" spans="1:13" x14ac:dyDescent="0.25">
      <c r="A73"/>
      <c r="B73"/>
      <c r="C73"/>
      <c r="D73"/>
      <c r="E73"/>
      <c r="F73"/>
      <c r="G73"/>
      <c r="H73" s="7"/>
      <c r="I73" s="3"/>
      <c r="J73"/>
      <c r="K73"/>
      <c r="L73"/>
      <c r="M73"/>
    </row>
    <row r="74" spans="1:13" x14ac:dyDescent="0.25">
      <c r="A74"/>
      <c r="B74"/>
      <c r="C74"/>
      <c r="D74"/>
      <c r="E74"/>
      <c r="F74"/>
      <c r="G74"/>
      <c r="H74" s="7"/>
      <c r="I74" s="3"/>
      <c r="J74"/>
      <c r="K74"/>
      <c r="L74"/>
      <c r="M74"/>
    </row>
    <row r="75" spans="1:13" x14ac:dyDescent="0.25">
      <c r="A75"/>
      <c r="B75"/>
      <c r="C75"/>
      <c r="D75"/>
      <c r="E75"/>
      <c r="F75"/>
      <c r="G75"/>
      <c r="H75" s="7"/>
      <c r="I75" s="3"/>
      <c r="J75"/>
      <c r="K75"/>
      <c r="L75"/>
      <c r="M75"/>
    </row>
    <row r="76" spans="1:13" x14ac:dyDescent="0.25">
      <c r="A76"/>
      <c r="B76"/>
      <c r="C76"/>
      <c r="D76"/>
      <c r="E76"/>
      <c r="F76"/>
      <c r="G76"/>
      <c r="H76" s="7"/>
      <c r="I76" s="3"/>
      <c r="J76"/>
      <c r="K76"/>
      <c r="L76"/>
      <c r="M76"/>
    </row>
    <row r="77" spans="1:13" x14ac:dyDescent="0.25">
      <c r="A77"/>
      <c r="B77"/>
      <c r="C77"/>
      <c r="D77"/>
      <c r="E77"/>
      <c r="F77"/>
      <c r="G77"/>
      <c r="H77" s="7"/>
      <c r="I77" s="3"/>
      <c r="J77"/>
      <c r="K77"/>
      <c r="L77"/>
      <c r="M77"/>
    </row>
    <row r="78" spans="1:13" x14ac:dyDescent="0.25">
      <c r="A78"/>
      <c r="B78"/>
      <c r="C78"/>
      <c r="D78"/>
      <c r="E78"/>
      <c r="F78"/>
      <c r="G78"/>
      <c r="H78" s="7"/>
      <c r="I78" s="3"/>
      <c r="J78"/>
      <c r="K78"/>
      <c r="L78"/>
      <c r="M78"/>
    </row>
    <row r="79" spans="1:13" x14ac:dyDescent="0.25">
      <c r="A79"/>
      <c r="B79"/>
      <c r="C79"/>
      <c r="D79"/>
      <c r="E79"/>
      <c r="F79"/>
      <c r="G79"/>
      <c r="H79" s="7"/>
      <c r="I79" s="3"/>
      <c r="J79"/>
      <c r="K79"/>
      <c r="L79"/>
      <c r="M79"/>
    </row>
    <row r="80" spans="1:13" x14ac:dyDescent="0.25">
      <c r="A80"/>
      <c r="B80"/>
      <c r="C80"/>
      <c r="D80"/>
      <c r="E80"/>
      <c r="F80"/>
      <c r="G80"/>
      <c r="H80" s="7"/>
      <c r="I80" s="3"/>
      <c r="J80"/>
      <c r="K80"/>
      <c r="L80"/>
      <c r="M80"/>
    </row>
    <row r="81" spans="1:13" x14ac:dyDescent="0.25">
      <c r="A81"/>
      <c r="B81"/>
      <c r="C81"/>
      <c r="D81"/>
      <c r="E81"/>
      <c r="F81"/>
      <c r="G81"/>
      <c r="H81" s="7"/>
      <c r="I81" s="3"/>
      <c r="J81"/>
      <c r="K81"/>
      <c r="L81"/>
      <c r="M81"/>
    </row>
    <row r="82" spans="1:13" x14ac:dyDescent="0.25">
      <c r="A82"/>
      <c r="B82"/>
      <c r="C82"/>
      <c r="D82"/>
      <c r="E82"/>
      <c r="F82"/>
      <c r="G82"/>
      <c r="I82" s="3"/>
      <c r="J82"/>
      <c r="K82"/>
      <c r="L82"/>
      <c r="M82"/>
    </row>
    <row r="83" spans="1:13" x14ac:dyDescent="0.25">
      <c r="A83"/>
      <c r="B83"/>
      <c r="C83"/>
      <c r="D83"/>
      <c r="E83"/>
      <c r="F83"/>
      <c r="G83"/>
      <c r="I83" s="3"/>
      <c r="J83"/>
      <c r="K83"/>
      <c r="L83"/>
      <c r="M83"/>
    </row>
    <row r="84" spans="1:13" x14ac:dyDescent="0.25">
      <c r="A84"/>
      <c r="B84"/>
      <c r="C84"/>
      <c r="D84"/>
      <c r="E84"/>
      <c r="F84"/>
      <c r="G84"/>
      <c r="I84" s="3"/>
      <c r="J84"/>
      <c r="K84"/>
      <c r="L84"/>
      <c r="M84"/>
    </row>
    <row r="85" spans="1:13" x14ac:dyDescent="0.25">
      <c r="A85"/>
      <c r="B85"/>
      <c r="C85"/>
      <c r="D85"/>
      <c r="E85"/>
      <c r="F85"/>
      <c r="G85"/>
      <c r="I85" s="3"/>
      <c r="J85"/>
      <c r="K85"/>
      <c r="L85"/>
      <c r="M85"/>
    </row>
    <row r="86" spans="1:13" x14ac:dyDescent="0.25">
      <c r="A86"/>
      <c r="B86"/>
      <c r="C86"/>
      <c r="D86"/>
      <c r="E86"/>
      <c r="F86"/>
      <c r="G86"/>
      <c r="I86" s="3"/>
      <c r="J86"/>
      <c r="K86"/>
      <c r="L86"/>
      <c r="M86"/>
    </row>
    <row r="87" spans="1:13" x14ac:dyDescent="0.25">
      <c r="A87"/>
      <c r="B87"/>
      <c r="C87"/>
      <c r="D87"/>
      <c r="E87"/>
      <c r="F87"/>
      <c r="G87"/>
      <c r="H87" s="7"/>
      <c r="I87" s="3"/>
      <c r="J87"/>
      <c r="K87"/>
      <c r="L87"/>
      <c r="M87"/>
    </row>
    <row r="88" spans="1:13" x14ac:dyDescent="0.25">
      <c r="A88"/>
      <c r="B88"/>
      <c r="C88"/>
      <c r="D88"/>
      <c r="E88"/>
      <c r="F88"/>
      <c r="G88"/>
      <c r="H88" s="7"/>
      <c r="I88" s="3"/>
      <c r="J88"/>
      <c r="K88"/>
      <c r="L88"/>
      <c r="M88"/>
    </row>
    <row r="89" spans="1:13" x14ac:dyDescent="0.25">
      <c r="A89"/>
      <c r="B89"/>
      <c r="C89"/>
      <c r="D89"/>
      <c r="E89"/>
      <c r="F89"/>
      <c r="G89"/>
      <c r="H89" s="7"/>
      <c r="I89" s="3"/>
      <c r="J89"/>
      <c r="K89"/>
      <c r="L89"/>
      <c r="M89"/>
    </row>
    <row r="90" spans="1:13" x14ac:dyDescent="0.25">
      <c r="A90"/>
      <c r="B90"/>
      <c r="C90"/>
      <c r="D90"/>
      <c r="E90"/>
      <c r="F90"/>
      <c r="G90"/>
      <c r="H90" s="7"/>
      <c r="I90" s="3"/>
      <c r="J90"/>
      <c r="K90"/>
      <c r="L90"/>
      <c r="M90"/>
    </row>
    <row r="91" spans="1:13" x14ac:dyDescent="0.25">
      <c r="A91"/>
      <c r="B91"/>
      <c r="C91"/>
      <c r="D91"/>
      <c r="E91"/>
      <c r="F91"/>
      <c r="G91"/>
      <c r="H91" s="7"/>
      <c r="I91" s="3"/>
      <c r="J91"/>
      <c r="K91"/>
      <c r="L91"/>
      <c r="M91"/>
    </row>
    <row r="92" spans="1:13" x14ac:dyDescent="0.25">
      <c r="A92"/>
      <c r="B92"/>
      <c r="C92"/>
      <c r="D92"/>
      <c r="E92"/>
      <c r="F92"/>
      <c r="G92"/>
      <c r="H92" s="7"/>
      <c r="I92" s="3"/>
      <c r="J92"/>
      <c r="K92"/>
      <c r="L92"/>
      <c r="M92"/>
    </row>
    <row r="93" spans="1:13" x14ac:dyDescent="0.25">
      <c r="A93"/>
      <c r="B93"/>
      <c r="C93"/>
      <c r="D93"/>
      <c r="E93"/>
      <c r="F93"/>
      <c r="G93"/>
      <c r="H93" s="7"/>
      <c r="I93" s="3"/>
      <c r="J93"/>
      <c r="K93"/>
      <c r="L93"/>
      <c r="M93"/>
    </row>
    <row r="94" spans="1:13" x14ac:dyDescent="0.25">
      <c r="A94"/>
      <c r="B94"/>
      <c r="C94"/>
      <c r="D94"/>
      <c r="E94"/>
      <c r="F94"/>
      <c r="G94"/>
      <c r="H94" s="7"/>
      <c r="I94" s="3"/>
      <c r="J94"/>
      <c r="K94"/>
      <c r="L94"/>
      <c r="M94"/>
    </row>
    <row r="95" spans="1:13" x14ac:dyDescent="0.25">
      <c r="A95"/>
      <c r="B95"/>
      <c r="C95"/>
      <c r="D95"/>
      <c r="E95"/>
      <c r="F95"/>
      <c r="G95"/>
      <c r="H95" s="7"/>
      <c r="I95" s="3"/>
      <c r="J95"/>
      <c r="K95"/>
      <c r="L95"/>
      <c r="M95"/>
    </row>
    <row r="96" spans="1:13" x14ac:dyDescent="0.25">
      <c r="A96"/>
      <c r="B96"/>
      <c r="C96"/>
      <c r="D96"/>
      <c r="E96"/>
      <c r="F96"/>
      <c r="G96"/>
      <c r="H96" s="7"/>
      <c r="I96" s="3"/>
      <c r="J96"/>
      <c r="K96"/>
      <c r="L96"/>
      <c r="M96"/>
    </row>
    <row r="97" spans="1:13" x14ac:dyDescent="0.25">
      <c r="A97"/>
      <c r="B97"/>
      <c r="C97"/>
      <c r="D97"/>
      <c r="E97"/>
      <c r="F97"/>
      <c r="G97"/>
      <c r="H97" s="7"/>
      <c r="I97" s="3"/>
      <c r="J97"/>
      <c r="K97"/>
      <c r="L97"/>
      <c r="M97"/>
    </row>
    <row r="98" spans="1:13" x14ac:dyDescent="0.25">
      <c r="A98"/>
      <c r="B98"/>
      <c r="C98"/>
      <c r="D98"/>
      <c r="E98"/>
      <c r="F98"/>
      <c r="G98"/>
      <c r="H98" s="7"/>
      <c r="I98" s="3"/>
      <c r="J98"/>
      <c r="K98"/>
      <c r="L98"/>
      <c r="M98"/>
    </row>
    <row r="99" spans="1:13" x14ac:dyDescent="0.25">
      <c r="A99"/>
      <c r="B99"/>
      <c r="C99"/>
      <c r="D99"/>
      <c r="E99"/>
      <c r="F99"/>
      <c r="G99"/>
      <c r="H99" s="7"/>
      <c r="I99" s="3"/>
      <c r="J99"/>
      <c r="K99"/>
      <c r="L99"/>
      <c r="M99"/>
    </row>
    <row r="100" spans="1:13" x14ac:dyDescent="0.25">
      <c r="A100"/>
      <c r="B100"/>
      <c r="C100"/>
      <c r="D100"/>
      <c r="E100"/>
      <c r="F100"/>
      <c r="G100"/>
      <c r="H100" s="7"/>
      <c r="I100" s="3"/>
      <c r="J100"/>
      <c r="K100"/>
      <c r="L100"/>
      <c r="M100"/>
    </row>
    <row r="101" spans="1:13" x14ac:dyDescent="0.25">
      <c r="A101"/>
      <c r="B101"/>
      <c r="C101"/>
      <c r="D101"/>
      <c r="E101"/>
      <c r="F101"/>
      <c r="G101"/>
      <c r="H101" s="7"/>
      <c r="I101" s="3"/>
      <c r="J101"/>
      <c r="K101"/>
      <c r="L101"/>
      <c r="M101"/>
    </row>
    <row r="102" spans="1:13" x14ac:dyDescent="0.25">
      <c r="A102"/>
      <c r="B102"/>
      <c r="C102"/>
      <c r="D102"/>
      <c r="E102"/>
      <c r="F102"/>
      <c r="G102"/>
      <c r="H102" s="7"/>
      <c r="I102" s="3"/>
      <c r="J102"/>
      <c r="K102"/>
      <c r="L102"/>
      <c r="M102"/>
    </row>
    <row r="103" spans="1:13" x14ac:dyDescent="0.25">
      <c r="A103"/>
      <c r="B103"/>
      <c r="C103"/>
      <c r="D103"/>
      <c r="E103"/>
      <c r="F103"/>
      <c r="G103"/>
      <c r="H103" s="7"/>
      <c r="I103" s="3"/>
      <c r="J103"/>
      <c r="K103"/>
      <c r="L103"/>
      <c r="M103"/>
    </row>
    <row r="104" spans="1:13" x14ac:dyDescent="0.25">
      <c r="A104"/>
      <c r="B104"/>
      <c r="C104"/>
      <c r="D104"/>
      <c r="E104"/>
      <c r="F104"/>
      <c r="G104"/>
      <c r="H104" s="7"/>
      <c r="I104" s="3"/>
      <c r="J104"/>
      <c r="K104"/>
      <c r="L104"/>
      <c r="M104"/>
    </row>
    <row r="105" spans="1:13" x14ac:dyDescent="0.25">
      <c r="A105"/>
      <c r="B105"/>
      <c r="C105"/>
      <c r="D105"/>
      <c r="E105"/>
      <c r="F105"/>
      <c r="G105"/>
      <c r="H105" s="7"/>
      <c r="I105" s="3"/>
      <c r="J105"/>
      <c r="K105"/>
      <c r="L105"/>
      <c r="M105"/>
    </row>
    <row r="106" spans="1:13" x14ac:dyDescent="0.25">
      <c r="A106"/>
      <c r="B106"/>
      <c r="C106"/>
      <c r="D106"/>
      <c r="E106"/>
      <c r="F106"/>
      <c r="G106"/>
      <c r="H106" s="7"/>
      <c r="I106" s="3"/>
      <c r="J106"/>
      <c r="K106"/>
      <c r="L106"/>
      <c r="M106"/>
    </row>
    <row r="107" spans="1:13" x14ac:dyDescent="0.25">
      <c r="A107"/>
      <c r="B107"/>
      <c r="C107"/>
      <c r="D107"/>
      <c r="E107"/>
      <c r="F107"/>
      <c r="G107"/>
      <c r="I107" s="3"/>
      <c r="J107"/>
      <c r="K107"/>
      <c r="L107"/>
      <c r="M107"/>
    </row>
    <row r="108" spans="1:13" x14ac:dyDescent="0.25">
      <c r="A108"/>
      <c r="B108"/>
      <c r="C108"/>
      <c r="D108"/>
      <c r="E108"/>
      <c r="F108"/>
      <c r="G108"/>
      <c r="I108" s="3"/>
      <c r="J108"/>
      <c r="K108"/>
      <c r="L108"/>
      <c r="M108"/>
    </row>
    <row r="109" spans="1:13" x14ac:dyDescent="0.25">
      <c r="A109"/>
      <c r="B109"/>
      <c r="C109"/>
      <c r="D109"/>
      <c r="E109"/>
      <c r="F109"/>
      <c r="G109"/>
      <c r="I109" s="3"/>
      <c r="J109"/>
      <c r="K109"/>
      <c r="L109"/>
      <c r="M109"/>
    </row>
    <row r="110" spans="1:13" x14ac:dyDescent="0.25">
      <c r="A110"/>
      <c r="B110"/>
      <c r="C110"/>
      <c r="D110"/>
      <c r="E110"/>
      <c r="F110"/>
      <c r="G110"/>
      <c r="I110" s="3"/>
      <c r="J110"/>
      <c r="K110"/>
      <c r="L110"/>
      <c r="M110"/>
    </row>
    <row r="111" spans="1:13" x14ac:dyDescent="0.25">
      <c r="A111"/>
      <c r="B111"/>
      <c r="C111"/>
      <c r="D111"/>
      <c r="E111"/>
      <c r="F111"/>
      <c r="G111"/>
      <c r="I111" s="3"/>
      <c r="J111"/>
      <c r="K111"/>
      <c r="L111"/>
      <c r="M111"/>
    </row>
    <row r="112" spans="1:13" x14ac:dyDescent="0.25">
      <c r="A112"/>
      <c r="B112"/>
      <c r="C112"/>
      <c r="D112"/>
      <c r="E112"/>
      <c r="F112"/>
      <c r="G112"/>
      <c r="H112" s="7"/>
      <c r="I112" s="3"/>
      <c r="J112"/>
      <c r="K112"/>
      <c r="L112"/>
      <c r="M112"/>
    </row>
    <row r="113" spans="1:13" x14ac:dyDescent="0.25">
      <c r="A113"/>
      <c r="B113"/>
      <c r="C113"/>
      <c r="D113"/>
      <c r="E113"/>
      <c r="F113"/>
      <c r="G113"/>
      <c r="H113" s="7"/>
      <c r="I113" s="3"/>
      <c r="J113"/>
      <c r="K113"/>
      <c r="L113"/>
      <c r="M113"/>
    </row>
    <row r="114" spans="1:13" x14ac:dyDescent="0.25">
      <c r="A114"/>
      <c r="B114"/>
      <c r="C114"/>
      <c r="D114"/>
      <c r="E114"/>
      <c r="F114"/>
      <c r="G114"/>
      <c r="H114" s="7"/>
      <c r="I114" s="3"/>
      <c r="J114"/>
      <c r="K114"/>
      <c r="L114"/>
      <c r="M114"/>
    </row>
    <row r="115" spans="1:13" x14ac:dyDescent="0.25">
      <c r="A115"/>
      <c r="B115"/>
      <c r="C115"/>
      <c r="D115"/>
      <c r="E115"/>
      <c r="F115"/>
      <c r="G115"/>
      <c r="H115" s="7"/>
      <c r="I115" s="3"/>
      <c r="J115"/>
      <c r="K115"/>
      <c r="L115"/>
      <c r="M115"/>
    </row>
    <row r="116" spans="1:13" x14ac:dyDescent="0.25">
      <c r="A116"/>
      <c r="B116"/>
      <c r="C116"/>
      <c r="D116"/>
      <c r="E116"/>
      <c r="F116"/>
      <c r="G116"/>
      <c r="H116" s="7"/>
      <c r="I116" s="3"/>
      <c r="J116"/>
      <c r="K116"/>
      <c r="L116"/>
      <c r="M116"/>
    </row>
    <row r="117" spans="1:13" x14ac:dyDescent="0.25">
      <c r="A117"/>
      <c r="B117"/>
      <c r="C117"/>
      <c r="D117"/>
      <c r="E117"/>
      <c r="F117"/>
      <c r="G117"/>
      <c r="H117" s="7"/>
      <c r="I117" s="3"/>
      <c r="J117"/>
      <c r="K117"/>
      <c r="L117"/>
      <c r="M117"/>
    </row>
    <row r="118" spans="1:13" x14ac:dyDescent="0.25">
      <c r="A118"/>
      <c r="B118"/>
      <c r="C118"/>
      <c r="D118"/>
      <c r="E118"/>
      <c r="F118"/>
      <c r="G118"/>
      <c r="H118" s="7"/>
      <c r="I118" s="3"/>
      <c r="J118"/>
      <c r="K118"/>
      <c r="L118"/>
      <c r="M118"/>
    </row>
    <row r="119" spans="1:13" x14ac:dyDescent="0.25">
      <c r="A119"/>
      <c r="B119"/>
      <c r="C119"/>
      <c r="D119"/>
      <c r="E119"/>
      <c r="F119"/>
      <c r="G119"/>
      <c r="H119" s="7"/>
      <c r="I119" s="3"/>
      <c r="J119"/>
      <c r="K119"/>
      <c r="L119"/>
      <c r="M119"/>
    </row>
    <row r="120" spans="1:13" x14ac:dyDescent="0.25">
      <c r="A120"/>
      <c r="B120"/>
      <c r="C120"/>
      <c r="D120"/>
      <c r="E120"/>
      <c r="F120"/>
      <c r="G120"/>
      <c r="H120" s="7"/>
      <c r="I120" s="3"/>
      <c r="J120"/>
      <c r="K120"/>
      <c r="L120"/>
      <c r="M120"/>
    </row>
    <row r="121" spans="1:13" x14ac:dyDescent="0.25">
      <c r="A121"/>
      <c r="B121"/>
      <c r="C121"/>
      <c r="D121"/>
      <c r="E121"/>
      <c r="F121"/>
      <c r="G121"/>
      <c r="H121" s="7"/>
      <c r="I121" s="3"/>
      <c r="J121"/>
      <c r="K121"/>
      <c r="L121"/>
      <c r="M121"/>
    </row>
    <row r="122" spans="1:13" x14ac:dyDescent="0.25">
      <c r="A122"/>
      <c r="B122"/>
      <c r="C122"/>
      <c r="D122"/>
      <c r="E122"/>
      <c r="F122"/>
      <c r="G122"/>
      <c r="I122" s="3"/>
      <c r="J122"/>
      <c r="K122"/>
      <c r="L122"/>
      <c r="M122"/>
    </row>
    <row r="123" spans="1:13" x14ac:dyDescent="0.25">
      <c r="A123"/>
      <c r="B123"/>
      <c r="C123"/>
      <c r="D123"/>
      <c r="E123"/>
      <c r="F123"/>
      <c r="G123"/>
      <c r="I123" s="3"/>
      <c r="J123"/>
      <c r="K123"/>
      <c r="L123"/>
      <c r="M123"/>
    </row>
    <row r="124" spans="1:13" x14ac:dyDescent="0.25">
      <c r="A124"/>
      <c r="B124"/>
      <c r="C124"/>
      <c r="D124"/>
      <c r="E124"/>
      <c r="F124"/>
      <c r="G124"/>
      <c r="I124" s="3"/>
      <c r="J124"/>
      <c r="K124"/>
      <c r="L124"/>
      <c r="M124"/>
    </row>
    <row r="125" spans="1:13" x14ac:dyDescent="0.25">
      <c r="A125"/>
      <c r="B125"/>
      <c r="C125"/>
      <c r="D125"/>
      <c r="E125"/>
      <c r="F125"/>
      <c r="G125"/>
      <c r="I125" s="3"/>
      <c r="J125"/>
      <c r="K125"/>
      <c r="L125"/>
      <c r="M125"/>
    </row>
    <row r="126" spans="1:13" x14ac:dyDescent="0.25">
      <c r="A126"/>
      <c r="B126"/>
      <c r="C126"/>
      <c r="D126"/>
      <c r="E126"/>
      <c r="F126"/>
      <c r="G126"/>
      <c r="I126" s="3"/>
      <c r="J126"/>
      <c r="K126"/>
      <c r="L126"/>
      <c r="M126"/>
    </row>
    <row r="127" spans="1:13" x14ac:dyDescent="0.25">
      <c r="A127"/>
      <c r="B127"/>
      <c r="C127"/>
      <c r="D127"/>
      <c r="E127"/>
      <c r="F127"/>
      <c r="G127"/>
      <c r="H127" s="7"/>
      <c r="I127" s="3"/>
      <c r="J127"/>
      <c r="K127"/>
      <c r="L127"/>
      <c r="M127"/>
    </row>
    <row r="128" spans="1:13" x14ac:dyDescent="0.25">
      <c r="A128"/>
      <c r="B128"/>
      <c r="C128"/>
      <c r="D128"/>
      <c r="E128"/>
      <c r="F128"/>
      <c r="G128"/>
      <c r="H128" s="7"/>
      <c r="I128" s="3"/>
      <c r="J128"/>
      <c r="K128"/>
      <c r="L128"/>
      <c r="M128"/>
    </row>
    <row r="129" spans="1:13" x14ac:dyDescent="0.25">
      <c r="A129"/>
      <c r="B129"/>
      <c r="C129"/>
      <c r="D129"/>
      <c r="E129"/>
      <c r="F129"/>
      <c r="G129"/>
      <c r="H129" s="7"/>
      <c r="I129" s="3"/>
      <c r="J129"/>
      <c r="K129"/>
      <c r="L129"/>
      <c r="M129"/>
    </row>
    <row r="130" spans="1:13" x14ac:dyDescent="0.25">
      <c r="A130"/>
      <c r="B130"/>
      <c r="C130"/>
      <c r="D130"/>
      <c r="E130"/>
      <c r="F130"/>
      <c r="G130"/>
      <c r="H130" s="7"/>
      <c r="I130" s="3"/>
      <c r="J130"/>
      <c r="K130"/>
      <c r="L130"/>
      <c r="M130"/>
    </row>
    <row r="131" spans="1:13" x14ac:dyDescent="0.25">
      <c r="A131"/>
      <c r="B131"/>
      <c r="C131"/>
      <c r="D131"/>
      <c r="E131"/>
      <c r="F131"/>
      <c r="G131"/>
      <c r="H131" s="7"/>
      <c r="I131" s="3"/>
      <c r="J131"/>
      <c r="K131"/>
      <c r="L131"/>
      <c r="M131"/>
    </row>
  </sheetData>
  <pageMargins left="0.7" right="0.7" top="0.75" bottom="0.75" header="0.3" footer="0.3"/>
  <pageSetup paperSize="9"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196"/>
  <sheetViews>
    <sheetView topLeftCell="E6" workbookViewId="0">
      <selection activeCell="L17" sqref="L17:M19"/>
    </sheetView>
  </sheetViews>
  <sheetFormatPr defaultRowHeight="15" x14ac:dyDescent="0.25"/>
  <cols>
    <col min="1" max="3" width="9.140625" style="11"/>
    <col min="6" max="6" width="11.7109375" customWidth="1"/>
  </cols>
  <sheetData>
    <row r="1" spans="1:11" s="6" customFormat="1" x14ac:dyDescent="0.25">
      <c r="A1" s="9" t="s">
        <v>13</v>
      </c>
      <c r="B1" s="9" t="s">
        <v>1</v>
      </c>
      <c r="C1" s="9" t="s">
        <v>3</v>
      </c>
    </row>
    <row r="2" spans="1:11" x14ac:dyDescent="0.25">
      <c r="A2" s="11" t="s">
        <v>5</v>
      </c>
      <c r="B2" s="11">
        <f>6814-1207</f>
        <v>5607</v>
      </c>
      <c r="C2" s="11">
        <v>2007</v>
      </c>
    </row>
    <row r="3" spans="1:11" x14ac:dyDescent="0.25">
      <c r="A3" s="11" t="s">
        <v>15</v>
      </c>
      <c r="B3" s="11">
        <v>0</v>
      </c>
      <c r="C3" s="11">
        <v>2007</v>
      </c>
    </row>
    <row r="4" spans="1:11" x14ac:dyDescent="0.25">
      <c r="A4" s="11" t="s">
        <v>6</v>
      </c>
      <c r="B4" s="11">
        <v>48657</v>
      </c>
      <c r="C4" s="11">
        <v>2007</v>
      </c>
    </row>
    <row r="5" spans="1:11" x14ac:dyDescent="0.25">
      <c r="A5" s="11" t="s">
        <v>5</v>
      </c>
      <c r="B5" s="11">
        <f>7739-1732</f>
        <v>6007</v>
      </c>
      <c r="C5" s="11">
        <v>2008</v>
      </c>
    </row>
    <row r="6" spans="1:11" x14ac:dyDescent="0.25">
      <c r="A6" s="11" t="s">
        <v>15</v>
      </c>
      <c r="B6" s="11">
        <v>0</v>
      </c>
      <c r="C6" s="11">
        <v>2008</v>
      </c>
    </row>
    <row r="7" spans="1:11" x14ac:dyDescent="0.25">
      <c r="A7" s="11" t="s">
        <v>6</v>
      </c>
      <c r="B7" s="11">
        <v>46997</v>
      </c>
      <c r="C7" s="11">
        <v>2008</v>
      </c>
    </row>
    <row r="8" spans="1:11" x14ac:dyDescent="0.25">
      <c r="A8" s="11" t="s">
        <v>5</v>
      </c>
      <c r="B8" s="11">
        <f>8473-1918</f>
        <v>6555</v>
      </c>
      <c r="C8" s="11">
        <v>2009</v>
      </c>
      <c r="G8">
        <v>2007</v>
      </c>
      <c r="H8">
        <v>2008</v>
      </c>
      <c r="I8">
        <v>2009</v>
      </c>
      <c r="J8">
        <v>2010</v>
      </c>
      <c r="K8">
        <v>2011</v>
      </c>
    </row>
    <row r="9" spans="1:11" x14ac:dyDescent="0.25">
      <c r="A9" s="11" t="s">
        <v>15</v>
      </c>
      <c r="B9" s="11">
        <v>51</v>
      </c>
      <c r="C9" s="11">
        <v>2009</v>
      </c>
      <c r="F9" t="s">
        <v>83</v>
      </c>
      <c r="G9">
        <f>SUMIFS(B2:B196,A2:A196,"Garantito",C2:C196,"2007")</f>
        <v>62180</v>
      </c>
      <c r="H9">
        <f>SUMIFS(B2:B196,A2:A196,"Garantito",C2:C196,"2008")</f>
        <v>61429</v>
      </c>
      <c r="I9">
        <f>SUMIFS(B2:B196,A2:A196,"Garantito",C2:C196,"2009")</f>
        <v>72971</v>
      </c>
      <c r="J9">
        <f>SUMIFS(B2:B196,A2:A196,"Garantito",C2:C196,"2010")</f>
        <v>76204</v>
      </c>
      <c r="K9">
        <f>SUMIFS(B2:B196,A2:A196,"Garantito",C2:C196,"2011")</f>
        <v>77878</v>
      </c>
    </row>
    <row r="10" spans="1:11" x14ac:dyDescent="0.25">
      <c r="A10" s="11" t="s">
        <v>6</v>
      </c>
      <c r="B10" s="11">
        <v>45076</v>
      </c>
      <c r="C10" s="11">
        <v>2009</v>
      </c>
      <c r="F10" t="s">
        <v>84</v>
      </c>
      <c r="G10">
        <f>SUMIFS(B2:B196,A2:A196,"Bilanciato",C2:C196,"2007")</f>
        <v>516842</v>
      </c>
      <c r="H10">
        <f>SUMIFS(B2:B196,A2:A196,"Bilanciato",C2:C196,"2008")</f>
        <v>510599</v>
      </c>
      <c r="I10">
        <f>SUMIFS(B2:B196,A2:A196,"Bilanciato",C2:C196,"2009")</f>
        <v>491381</v>
      </c>
      <c r="J10">
        <f>SUMIFS(B2:B196,A2:A196,"Bilanciato",C2:C196,"2010")</f>
        <v>475660</v>
      </c>
      <c r="K10">
        <f>SUMIFS(B2:B196,A2:A196,"Bilanciato",C2:C196,"2011")</f>
        <v>340864</v>
      </c>
    </row>
    <row r="11" spans="1:11" x14ac:dyDescent="0.25">
      <c r="A11" s="11" t="s">
        <v>5</v>
      </c>
      <c r="B11" s="11">
        <v>7818</v>
      </c>
      <c r="C11" s="11">
        <v>2010</v>
      </c>
      <c r="F11" t="s">
        <v>86</v>
      </c>
      <c r="G11">
        <f>SUMIFS(B2:B196,A2:A196,"Dinamico",C2:C196,"2007")</f>
        <v>77825</v>
      </c>
      <c r="H11">
        <f>SUMIFS(B2:B196,A2:A196,"Dinamico",C2:C196,"2008")</f>
        <v>81030</v>
      </c>
      <c r="I11">
        <f>SUMIFS(B2:B196,A2:A196,"Dinamico",C2:C196,"2009")</f>
        <v>81432</v>
      </c>
      <c r="J11">
        <f>SUMIFS(B2:B196,A2:A196,"Dinamico",C2:C196,"2010")</f>
        <v>79040</v>
      </c>
      <c r="K11">
        <f>SUMIFS(B2:B196,A2:A196,"Dinamico",C2:C196,"2011")</f>
        <v>76330</v>
      </c>
    </row>
    <row r="12" spans="1:11" x14ac:dyDescent="0.25">
      <c r="A12" s="11" t="s">
        <v>15</v>
      </c>
      <c r="B12" s="11">
        <v>121</v>
      </c>
      <c r="C12" s="11">
        <v>2010</v>
      </c>
      <c r="G12">
        <f>SUM(G9:G11)</f>
        <v>656847</v>
      </c>
      <c r="H12">
        <f t="shared" ref="H12:K12" si="0">SUM(H9:H11)</f>
        <v>653058</v>
      </c>
      <c r="I12">
        <f t="shared" si="0"/>
        <v>645784</v>
      </c>
      <c r="J12">
        <f t="shared" si="0"/>
        <v>630904</v>
      </c>
      <c r="K12">
        <f t="shared" si="0"/>
        <v>495072</v>
      </c>
    </row>
    <row r="13" spans="1:11" x14ac:dyDescent="0.25">
      <c r="A13" s="11" t="s">
        <v>6</v>
      </c>
      <c r="B13" s="11">
        <v>43504</v>
      </c>
      <c r="C13" s="11">
        <v>2010</v>
      </c>
    </row>
    <row r="14" spans="1:11" x14ac:dyDescent="0.25">
      <c r="A14" s="11" t="s">
        <v>5</v>
      </c>
      <c r="B14" s="11">
        <v>8897</v>
      </c>
      <c r="C14" s="11">
        <v>2011</v>
      </c>
    </row>
    <row r="15" spans="1:11" x14ac:dyDescent="0.25">
      <c r="A15" s="11" t="s">
        <v>15</v>
      </c>
      <c r="B15" s="11">
        <v>207</v>
      </c>
      <c r="C15" s="11">
        <v>2011</v>
      </c>
    </row>
    <row r="16" spans="1:11" x14ac:dyDescent="0.25">
      <c r="A16" s="11" t="s">
        <v>6</v>
      </c>
      <c r="B16" s="11">
        <v>41648</v>
      </c>
      <c r="C16" s="11">
        <v>2011</v>
      </c>
      <c r="G16">
        <v>2007</v>
      </c>
      <c r="H16">
        <v>2008</v>
      </c>
      <c r="I16">
        <v>2009</v>
      </c>
      <c r="J16">
        <v>2010</v>
      </c>
      <c r="K16">
        <v>2011</v>
      </c>
    </row>
    <row r="17" spans="1:13" x14ac:dyDescent="0.25">
      <c r="A17" s="11" t="s">
        <v>5</v>
      </c>
      <c r="B17" s="11">
        <f>5371-481</f>
        <v>4890</v>
      </c>
      <c r="C17" s="11">
        <v>2007</v>
      </c>
      <c r="F17" t="s">
        <v>83</v>
      </c>
      <c r="G17" s="15">
        <f>G9/G12</f>
        <v>9.4664358671045154E-2</v>
      </c>
      <c r="H17" s="15">
        <f>H9/H12</f>
        <v>9.4063620689127159E-2</v>
      </c>
      <c r="I17" s="15">
        <f>I9/I12</f>
        <v>0.11299598627404829</v>
      </c>
      <c r="J17" s="15">
        <f>J9/J12</f>
        <v>0.12078541267768154</v>
      </c>
      <c r="K17" s="15">
        <f>K9/K12</f>
        <v>0.15730641199663886</v>
      </c>
      <c r="L17" t="s">
        <v>83</v>
      </c>
      <c r="M17" s="15">
        <f>AVERAGE(G17:K17)</f>
        <v>0.1159631580617082</v>
      </c>
    </row>
    <row r="18" spans="1:13" x14ac:dyDescent="0.25">
      <c r="A18" s="11" t="s">
        <v>15</v>
      </c>
      <c r="B18" s="11">
        <v>2178</v>
      </c>
      <c r="C18" s="11">
        <v>2007</v>
      </c>
      <c r="F18" t="s">
        <v>84</v>
      </c>
      <c r="G18" s="15">
        <f>G10/G12</f>
        <v>0.78685295053490389</v>
      </c>
      <c r="H18" s="15">
        <f>H10/H12</f>
        <v>0.78185857917673474</v>
      </c>
      <c r="I18" s="15">
        <f>I10/I12</f>
        <v>0.760906123409685</v>
      </c>
      <c r="J18" s="15">
        <f>J10/J12</f>
        <v>0.75393403750808363</v>
      </c>
      <c r="K18" s="15">
        <f>K10/K12</f>
        <v>0.68851399392411605</v>
      </c>
      <c r="L18" t="s">
        <v>84</v>
      </c>
      <c r="M18" s="15">
        <f>AVERAGE(G18:K18)</f>
        <v>0.75441313691070455</v>
      </c>
    </row>
    <row r="19" spans="1:13" x14ac:dyDescent="0.25">
      <c r="A19" s="11" t="s">
        <v>6</v>
      </c>
      <c r="B19" s="11">
        <v>35794</v>
      </c>
      <c r="C19" s="11">
        <v>2007</v>
      </c>
      <c r="F19" t="s">
        <v>86</v>
      </c>
      <c r="G19" s="15">
        <f>G11/G12</f>
        <v>0.11848269079405098</v>
      </c>
      <c r="H19" s="15">
        <f>H11/H12</f>
        <v>0.12407780013413816</v>
      </c>
      <c r="I19" s="15">
        <f>I11/I12</f>
        <v>0.12609789031626675</v>
      </c>
      <c r="J19" s="15">
        <f>J11/J12</f>
        <v>0.12528054981423481</v>
      </c>
      <c r="K19" s="15">
        <f>K11/K12</f>
        <v>0.15417959407924503</v>
      </c>
      <c r="L19" t="s">
        <v>86</v>
      </c>
      <c r="M19" s="15">
        <f>AVERAGE(G19:K19)</f>
        <v>0.12962370502758716</v>
      </c>
    </row>
    <row r="20" spans="1:13" x14ac:dyDescent="0.25">
      <c r="A20" s="11" t="s">
        <v>5</v>
      </c>
      <c r="B20" s="11">
        <f>4325-814</f>
        <v>3511</v>
      </c>
      <c r="C20" s="11">
        <v>2008</v>
      </c>
    </row>
    <row r="21" spans="1:13" x14ac:dyDescent="0.25">
      <c r="A21" s="11" t="s">
        <v>15</v>
      </c>
      <c r="B21" s="11">
        <v>2253</v>
      </c>
      <c r="C21" s="11">
        <v>2008</v>
      </c>
    </row>
    <row r="22" spans="1:13" x14ac:dyDescent="0.25">
      <c r="A22" s="11" t="s">
        <v>6</v>
      </c>
      <c r="B22" s="11">
        <v>35181</v>
      </c>
      <c r="C22" s="11">
        <v>2008</v>
      </c>
    </row>
    <row r="23" spans="1:13" x14ac:dyDescent="0.25">
      <c r="A23" s="11" t="s">
        <v>5</v>
      </c>
      <c r="B23" s="11">
        <f>4599-950</f>
        <v>3649</v>
      </c>
      <c r="C23" s="11">
        <v>2009</v>
      </c>
      <c r="F23" t="s">
        <v>85</v>
      </c>
      <c r="G23" s="15">
        <f t="shared" ref="G23:K25" si="1">(G17*100)^2</f>
        <v>89.613408026002816</v>
      </c>
      <c r="H23" s="15">
        <f t="shared" si="1"/>
        <v>88.479647371479899</v>
      </c>
      <c r="I23" s="15">
        <f t="shared" si="1"/>
        <v>127.68092914044911</v>
      </c>
      <c r="J23" s="15">
        <f t="shared" si="1"/>
        <v>145.89115915717832</v>
      </c>
      <c r="K23" s="15">
        <f t="shared" si="1"/>
        <v>247.45307255256284</v>
      </c>
      <c r="M23" s="17">
        <f>(M17*100)^2</f>
        <v>134.47454027644721</v>
      </c>
    </row>
    <row r="24" spans="1:13" x14ac:dyDescent="0.25">
      <c r="A24" s="11" t="s">
        <v>15</v>
      </c>
      <c r="B24" s="11">
        <f>1834+379</f>
        <v>2213</v>
      </c>
      <c r="C24" s="11">
        <v>2009</v>
      </c>
      <c r="G24" s="15">
        <f t="shared" si="1"/>
        <v>6191.3756576548394</v>
      </c>
      <c r="H24" s="15">
        <f t="shared" si="1"/>
        <v>6113.0283783226241</v>
      </c>
      <c r="I24" s="15">
        <f t="shared" si="1"/>
        <v>5789.7812864235484</v>
      </c>
      <c r="J24" s="15">
        <f t="shared" si="1"/>
        <v>5684.1653291324046</v>
      </c>
      <c r="K24" s="15">
        <f t="shared" si="1"/>
        <v>4740.5151982933776</v>
      </c>
      <c r="M24" s="17">
        <f>(M18*100)^2</f>
        <v>5691.3918114344951</v>
      </c>
    </row>
    <row r="25" spans="1:13" x14ac:dyDescent="0.25">
      <c r="A25" s="11" t="s">
        <v>6</v>
      </c>
      <c r="B25" s="11">
        <f>32008+1415</f>
        <v>33423</v>
      </c>
      <c r="C25" s="11">
        <v>2009</v>
      </c>
      <c r="G25" s="15">
        <f t="shared" si="1"/>
        <v>140.38148017798693</v>
      </c>
      <c r="H25" s="15">
        <f t="shared" si="1"/>
        <v>153.95300486127138</v>
      </c>
      <c r="I25" s="15">
        <f t="shared" si="1"/>
        <v>159.00677942213241</v>
      </c>
      <c r="J25" s="15">
        <f t="shared" si="1"/>
        <v>156.95216161756969</v>
      </c>
      <c r="K25" s="15">
        <f t="shared" si="1"/>
        <v>237.71347230440767</v>
      </c>
      <c r="M25" s="17">
        <f>(M19*100)^2</f>
        <v>168.02304905078927</v>
      </c>
    </row>
    <row r="26" spans="1:13" x14ac:dyDescent="0.25">
      <c r="A26" s="11" t="s">
        <v>5</v>
      </c>
      <c r="B26" s="11">
        <f>4520-957</f>
        <v>3563</v>
      </c>
      <c r="C26" s="11">
        <v>2010</v>
      </c>
    </row>
    <row r="27" spans="1:13" x14ac:dyDescent="0.25">
      <c r="A27" s="11" t="s">
        <v>15</v>
      </c>
      <c r="B27" s="11">
        <f>1801+364</f>
        <v>2165</v>
      </c>
      <c r="C27" s="11">
        <v>2010</v>
      </c>
    </row>
    <row r="28" spans="1:13" x14ac:dyDescent="0.25">
      <c r="A28" s="11" t="s">
        <v>6</v>
      </c>
      <c r="B28" s="11">
        <f>30684+1386</f>
        <v>32070</v>
      </c>
      <c r="C28" s="11">
        <v>2010</v>
      </c>
    </row>
    <row r="29" spans="1:13" x14ac:dyDescent="0.25">
      <c r="A29" s="11" t="s">
        <v>5</v>
      </c>
      <c r="B29" s="11">
        <v>4151</v>
      </c>
      <c r="C29" s="11">
        <v>2011</v>
      </c>
    </row>
    <row r="30" spans="1:13" x14ac:dyDescent="0.25">
      <c r="A30" s="11" t="s">
        <v>15</v>
      </c>
      <c r="B30" s="11">
        <v>1771</v>
      </c>
      <c r="C30" s="11">
        <v>2011</v>
      </c>
    </row>
    <row r="31" spans="1:13" x14ac:dyDescent="0.25">
      <c r="A31" s="11" t="s">
        <v>6</v>
      </c>
      <c r="B31" s="11">
        <v>29770</v>
      </c>
      <c r="C31" s="11">
        <v>2011</v>
      </c>
    </row>
    <row r="32" spans="1:13" x14ac:dyDescent="0.25">
      <c r="A32" s="11" t="s">
        <v>5</v>
      </c>
      <c r="B32" s="11">
        <f>6671-1417</f>
        <v>5254</v>
      </c>
      <c r="C32" s="11">
        <v>2007</v>
      </c>
    </row>
    <row r="33" spans="1:3" x14ac:dyDescent="0.25">
      <c r="A33" s="11" t="s">
        <v>15</v>
      </c>
      <c r="B33" s="11">
        <v>0</v>
      </c>
      <c r="C33" s="11">
        <v>2007</v>
      </c>
    </row>
    <row r="34" spans="1:3" x14ac:dyDescent="0.25">
      <c r="A34" s="11" t="s">
        <v>6</v>
      </c>
      <c r="B34" s="11">
        <v>32255</v>
      </c>
      <c r="C34" s="11">
        <v>2007</v>
      </c>
    </row>
    <row r="35" spans="1:3" x14ac:dyDescent="0.25">
      <c r="A35" s="11" t="s">
        <v>5</v>
      </c>
      <c r="B35" s="11">
        <f>9032-1524</f>
        <v>7508</v>
      </c>
      <c r="C35" s="11">
        <v>2008</v>
      </c>
    </row>
    <row r="36" spans="1:3" x14ac:dyDescent="0.25">
      <c r="A36" s="11" t="s">
        <v>15</v>
      </c>
      <c r="B36" s="11">
        <v>15</v>
      </c>
      <c r="C36" s="11">
        <v>2008</v>
      </c>
    </row>
    <row r="37" spans="1:3" x14ac:dyDescent="0.25">
      <c r="A37" s="11" t="s">
        <v>6</v>
      </c>
      <c r="B37" s="11">
        <v>31563</v>
      </c>
      <c r="C37" s="11">
        <v>2008</v>
      </c>
    </row>
    <row r="38" spans="1:3" x14ac:dyDescent="0.25">
      <c r="A38" s="11" t="s">
        <v>5</v>
      </c>
      <c r="B38" s="13">
        <f>9032-1524</f>
        <v>7508</v>
      </c>
      <c r="C38" s="11">
        <v>2009</v>
      </c>
    </row>
    <row r="39" spans="1:3" x14ac:dyDescent="0.25">
      <c r="A39" s="11" t="s">
        <v>15</v>
      </c>
      <c r="B39" s="11">
        <v>74</v>
      </c>
      <c r="C39" s="11">
        <v>2009</v>
      </c>
    </row>
    <row r="40" spans="1:3" x14ac:dyDescent="0.25">
      <c r="A40" s="11" t="s">
        <v>6</v>
      </c>
      <c r="B40" s="11">
        <v>30012</v>
      </c>
      <c r="C40" s="11">
        <v>2009</v>
      </c>
    </row>
    <row r="41" spans="1:3" x14ac:dyDescent="0.25">
      <c r="A41" s="11" t="s">
        <v>5</v>
      </c>
      <c r="B41" s="11">
        <f>9027-1524</f>
        <v>7503</v>
      </c>
      <c r="C41" s="11">
        <v>2010</v>
      </c>
    </row>
    <row r="42" spans="1:3" x14ac:dyDescent="0.25">
      <c r="A42" s="11" t="s">
        <v>15</v>
      </c>
      <c r="B42" s="11">
        <v>109</v>
      </c>
      <c r="C42" s="11">
        <v>2010</v>
      </c>
    </row>
    <row r="43" spans="1:3" x14ac:dyDescent="0.25">
      <c r="A43" s="11" t="s">
        <v>6</v>
      </c>
      <c r="B43" s="11">
        <v>28545</v>
      </c>
      <c r="C43" s="11">
        <v>2010</v>
      </c>
    </row>
    <row r="44" spans="1:3" x14ac:dyDescent="0.25">
      <c r="A44" s="11" t="s">
        <v>5</v>
      </c>
      <c r="B44" s="11">
        <v>7429</v>
      </c>
      <c r="C44" s="11">
        <v>2011</v>
      </c>
    </row>
    <row r="45" spans="1:3" x14ac:dyDescent="0.25">
      <c r="A45" s="11" t="s">
        <v>15</v>
      </c>
      <c r="B45" s="11">
        <v>156</v>
      </c>
      <c r="C45" s="11">
        <v>2011</v>
      </c>
    </row>
    <row r="46" spans="1:3" x14ac:dyDescent="0.25">
      <c r="A46" s="11" t="s">
        <v>6</v>
      </c>
      <c r="B46" s="11">
        <v>27175</v>
      </c>
      <c r="C46" s="11">
        <v>2011</v>
      </c>
    </row>
    <row r="47" spans="1:3" x14ac:dyDescent="0.25">
      <c r="A47" s="11" t="s">
        <v>5</v>
      </c>
      <c r="B47" s="11">
        <v>15860</v>
      </c>
      <c r="C47" s="11">
        <v>2007</v>
      </c>
    </row>
    <row r="48" spans="1:3" x14ac:dyDescent="0.25">
      <c r="A48" s="11" t="s">
        <v>15</v>
      </c>
      <c r="B48" s="11">
        <v>4977</v>
      </c>
      <c r="C48" s="11">
        <v>2007</v>
      </c>
    </row>
    <row r="49" spans="1:3" x14ac:dyDescent="0.25">
      <c r="A49" s="11" t="s">
        <v>6</v>
      </c>
      <c r="B49" s="11">
        <v>35991</v>
      </c>
      <c r="C49" s="11">
        <v>2007</v>
      </c>
    </row>
    <row r="50" spans="1:3" x14ac:dyDescent="0.25">
      <c r="A50" s="11" t="s">
        <v>5</v>
      </c>
      <c r="B50" s="11">
        <f>26773-17122</f>
        <v>9651</v>
      </c>
      <c r="C50" s="11">
        <v>2008</v>
      </c>
    </row>
    <row r="51" spans="1:3" x14ac:dyDescent="0.25">
      <c r="A51" s="11" t="s">
        <v>15</v>
      </c>
      <c r="B51" s="11">
        <v>5360</v>
      </c>
      <c r="C51" s="11">
        <v>2008</v>
      </c>
    </row>
    <row r="52" spans="1:3" x14ac:dyDescent="0.25">
      <c r="A52" s="11" t="s">
        <v>6</v>
      </c>
      <c r="B52" s="11">
        <v>37833</v>
      </c>
      <c r="C52" s="11">
        <v>2008</v>
      </c>
    </row>
    <row r="53" spans="1:3" x14ac:dyDescent="0.25">
      <c r="A53" s="11" t="s">
        <v>5</v>
      </c>
      <c r="B53" s="11">
        <f>31711-21209</f>
        <v>10502</v>
      </c>
      <c r="C53" s="11">
        <v>2009</v>
      </c>
    </row>
    <row r="54" spans="1:3" x14ac:dyDescent="0.25">
      <c r="A54" s="11" t="s">
        <v>15</v>
      </c>
      <c r="B54" s="11">
        <v>5308</v>
      </c>
      <c r="C54" s="11">
        <v>2009</v>
      </c>
    </row>
    <row r="55" spans="1:3" x14ac:dyDescent="0.25">
      <c r="A55" s="11" t="s">
        <v>6</v>
      </c>
      <c r="B55" s="11">
        <v>37678</v>
      </c>
      <c r="C55" s="11">
        <v>2009</v>
      </c>
    </row>
    <row r="56" spans="1:3" x14ac:dyDescent="0.25">
      <c r="A56" s="11" t="s">
        <v>5</v>
      </c>
      <c r="B56" s="11">
        <f>34007-24875</f>
        <v>9132</v>
      </c>
      <c r="C56" s="11">
        <v>2010</v>
      </c>
    </row>
    <row r="57" spans="1:3" x14ac:dyDescent="0.25">
      <c r="A57" s="11" t="s">
        <v>15</v>
      </c>
      <c r="B57" s="11">
        <v>5176</v>
      </c>
      <c r="C57" s="11">
        <v>2010</v>
      </c>
    </row>
    <row r="58" spans="1:3" x14ac:dyDescent="0.25">
      <c r="A58" s="11" t="s">
        <v>6</v>
      </c>
      <c r="B58" s="11">
        <v>36254</v>
      </c>
      <c r="C58" s="11">
        <v>2010</v>
      </c>
    </row>
    <row r="59" spans="1:3" x14ac:dyDescent="0.25">
      <c r="A59" s="11" t="s">
        <v>5</v>
      </c>
      <c r="B59" s="11">
        <v>10983</v>
      </c>
      <c r="C59" s="11">
        <v>2011</v>
      </c>
    </row>
    <row r="60" spans="1:3" x14ac:dyDescent="0.25">
      <c r="A60" s="11" t="s">
        <v>15</v>
      </c>
      <c r="B60" s="11">
        <v>5109</v>
      </c>
      <c r="C60" s="11">
        <v>2011</v>
      </c>
    </row>
    <row r="61" spans="1:3" x14ac:dyDescent="0.25">
      <c r="A61" s="11" t="s">
        <v>6</v>
      </c>
      <c r="B61" s="11">
        <v>35441</v>
      </c>
      <c r="C61" s="11">
        <v>2011</v>
      </c>
    </row>
    <row r="62" spans="1:3" x14ac:dyDescent="0.25">
      <c r="A62" s="11" t="s">
        <v>5</v>
      </c>
      <c r="B62" s="11">
        <v>33</v>
      </c>
      <c r="C62" s="11">
        <v>2007</v>
      </c>
    </row>
    <row r="63" spans="1:3" x14ac:dyDescent="0.25">
      <c r="A63" s="11" t="s">
        <v>15</v>
      </c>
      <c r="B63" s="11">
        <v>0</v>
      </c>
      <c r="C63" s="11">
        <v>2007</v>
      </c>
    </row>
    <row r="64" spans="1:3" x14ac:dyDescent="0.25">
      <c r="A64" s="11" t="s">
        <v>6</v>
      </c>
      <c r="B64" s="11">
        <v>43025</v>
      </c>
      <c r="C64" s="11">
        <v>2007</v>
      </c>
    </row>
    <row r="65" spans="1:3" x14ac:dyDescent="0.25">
      <c r="A65" s="11" t="s">
        <v>5</v>
      </c>
      <c r="B65" s="11">
        <f>1616-1137</f>
        <v>479</v>
      </c>
      <c r="C65" s="11">
        <v>2008</v>
      </c>
    </row>
    <row r="66" spans="1:3" x14ac:dyDescent="0.25">
      <c r="A66" s="11" t="s">
        <v>15</v>
      </c>
      <c r="B66" s="11">
        <v>0</v>
      </c>
      <c r="C66" s="11">
        <v>2008</v>
      </c>
    </row>
    <row r="67" spans="1:3" x14ac:dyDescent="0.25">
      <c r="A67" s="11" t="s">
        <v>6</v>
      </c>
      <c r="B67" s="11">
        <v>41655</v>
      </c>
      <c r="C67" s="11">
        <v>2008</v>
      </c>
    </row>
    <row r="68" spans="1:3" x14ac:dyDescent="0.25">
      <c r="A68" s="11" t="s">
        <v>5</v>
      </c>
      <c r="B68" s="11">
        <f>3912-1137</f>
        <v>2775</v>
      </c>
      <c r="C68" s="11">
        <v>2009</v>
      </c>
    </row>
    <row r="69" spans="1:3" x14ac:dyDescent="0.25">
      <c r="A69" s="11" t="s">
        <v>15</v>
      </c>
      <c r="B69" s="11">
        <v>162</v>
      </c>
      <c r="C69" s="11">
        <v>2009</v>
      </c>
    </row>
    <row r="70" spans="1:3" x14ac:dyDescent="0.25">
      <c r="A70" s="11" t="s">
        <v>6</v>
      </c>
      <c r="B70" s="11">
        <v>38533</v>
      </c>
      <c r="C70" s="11">
        <v>2009</v>
      </c>
    </row>
    <row r="71" spans="1:3" x14ac:dyDescent="0.25">
      <c r="A71" s="11" t="s">
        <v>5</v>
      </c>
      <c r="B71" s="11">
        <f>5769-1137</f>
        <v>4632</v>
      </c>
      <c r="C71" s="11">
        <v>2010</v>
      </c>
    </row>
    <row r="72" spans="1:3" x14ac:dyDescent="0.25">
      <c r="A72" s="11" t="s">
        <v>15</v>
      </c>
      <c r="B72" s="11">
        <v>308</v>
      </c>
      <c r="C72" s="11">
        <v>2010</v>
      </c>
    </row>
    <row r="73" spans="1:3" x14ac:dyDescent="0.25">
      <c r="A73" s="11" t="s">
        <v>6</v>
      </c>
      <c r="B73" s="11">
        <v>37626</v>
      </c>
      <c r="C73" s="11">
        <v>2010</v>
      </c>
    </row>
    <row r="74" spans="1:3" x14ac:dyDescent="0.25">
      <c r="A74" s="11" t="s">
        <v>5</v>
      </c>
      <c r="B74" s="11">
        <v>4738</v>
      </c>
      <c r="C74" s="11">
        <v>2011</v>
      </c>
    </row>
    <row r="75" spans="1:3" x14ac:dyDescent="0.25">
      <c r="A75" s="11" t="s">
        <v>15</v>
      </c>
      <c r="B75" s="11">
        <v>421</v>
      </c>
      <c r="C75" s="11">
        <v>2011</v>
      </c>
    </row>
    <row r="76" spans="1:3" x14ac:dyDescent="0.25">
      <c r="A76" s="11" t="s">
        <v>6</v>
      </c>
      <c r="B76" s="11">
        <v>36018</v>
      </c>
      <c r="C76" s="11">
        <v>2011</v>
      </c>
    </row>
    <row r="77" spans="1:3" x14ac:dyDescent="0.25">
      <c r="A77" s="11" t="s">
        <v>5</v>
      </c>
      <c r="B77" s="11">
        <f>2246-2000</f>
        <v>246</v>
      </c>
      <c r="C77" s="11">
        <v>2007</v>
      </c>
    </row>
    <row r="78" spans="1:3" x14ac:dyDescent="0.25">
      <c r="A78" s="11" t="s">
        <v>15</v>
      </c>
      <c r="B78" s="11">
        <f>6043</f>
        <v>6043</v>
      </c>
      <c r="C78" s="11">
        <v>2007</v>
      </c>
    </row>
    <row r="79" spans="1:3" x14ac:dyDescent="0.25">
      <c r="A79" s="11" t="s">
        <v>6</v>
      </c>
      <c r="B79" s="11">
        <v>153172</v>
      </c>
      <c r="C79" s="11">
        <v>2007</v>
      </c>
    </row>
    <row r="80" spans="1:3" x14ac:dyDescent="0.25">
      <c r="A80" s="11" t="s">
        <v>5</v>
      </c>
      <c r="B80" s="11">
        <f>3272-2404</f>
        <v>868</v>
      </c>
      <c r="C80" s="11">
        <v>2008</v>
      </c>
    </row>
    <row r="81" spans="1:3" x14ac:dyDescent="0.25">
      <c r="A81" s="11" t="s">
        <v>15</v>
      </c>
      <c r="B81" s="11">
        <v>6245</v>
      </c>
      <c r="C81" s="11">
        <v>2008</v>
      </c>
    </row>
    <row r="82" spans="1:3" x14ac:dyDescent="0.25">
      <c r="A82" s="11" t="s">
        <v>6</v>
      </c>
      <c r="B82" s="11">
        <v>150108</v>
      </c>
      <c r="C82" s="11">
        <v>2008</v>
      </c>
    </row>
    <row r="83" spans="1:3" x14ac:dyDescent="0.25">
      <c r="A83" s="11" t="s">
        <v>5</v>
      </c>
      <c r="B83" s="11">
        <f>6224-2404</f>
        <v>3820</v>
      </c>
      <c r="C83" s="11">
        <v>2009</v>
      </c>
    </row>
    <row r="84" spans="1:3" x14ac:dyDescent="0.25">
      <c r="A84" s="11" t="s">
        <v>15</v>
      </c>
      <c r="B84" s="11">
        <v>6681</v>
      </c>
      <c r="C84" s="11">
        <v>2009</v>
      </c>
    </row>
    <row r="85" spans="1:3" x14ac:dyDescent="0.25">
      <c r="A85" s="11" t="s">
        <v>6</v>
      </c>
      <c r="B85" s="11">
        <v>145799</v>
      </c>
      <c r="C85" s="11">
        <v>2009</v>
      </c>
    </row>
    <row r="86" spans="1:3" x14ac:dyDescent="0.25">
      <c r="A86" s="11" t="s">
        <v>5</v>
      </c>
      <c r="B86" s="11">
        <f>5967-2234</f>
        <v>3733</v>
      </c>
      <c r="C86" s="11">
        <v>2010</v>
      </c>
    </row>
    <row r="87" spans="1:3" x14ac:dyDescent="0.25">
      <c r="A87" s="11" t="s">
        <v>15</v>
      </c>
      <c r="B87" s="11">
        <v>6683</v>
      </c>
      <c r="C87" s="11">
        <v>2010</v>
      </c>
    </row>
    <row r="88" spans="1:3" x14ac:dyDescent="0.25">
      <c r="A88" s="11" t="s">
        <v>6</v>
      </c>
      <c r="B88" s="11">
        <v>141813</v>
      </c>
      <c r="C88" s="11">
        <v>2010</v>
      </c>
    </row>
    <row r="89" spans="1:3" x14ac:dyDescent="0.25">
      <c r="A89" s="11" t="s">
        <v>5</v>
      </c>
      <c r="B89" s="11">
        <v>3685</v>
      </c>
      <c r="C89" s="11">
        <v>2011</v>
      </c>
    </row>
    <row r="90" spans="1:3" x14ac:dyDescent="0.25">
      <c r="A90" s="11" t="s">
        <v>15</v>
      </c>
      <c r="B90" s="11">
        <v>6804</v>
      </c>
      <c r="C90" s="11">
        <v>2011</v>
      </c>
    </row>
    <row r="91" spans="1:3" x14ac:dyDescent="0.25">
      <c r="A91" s="11" t="s">
        <v>6</v>
      </c>
      <c r="B91" s="11">
        <v>19733</v>
      </c>
      <c r="C91" s="11">
        <v>2011</v>
      </c>
    </row>
    <row r="92" spans="1:3" x14ac:dyDescent="0.25">
      <c r="A92" s="11" t="s">
        <v>5</v>
      </c>
      <c r="B92" s="11">
        <f>8420-2530</f>
        <v>5890</v>
      </c>
      <c r="C92" s="11">
        <v>2007</v>
      </c>
    </row>
    <row r="93" spans="1:3" x14ac:dyDescent="0.25">
      <c r="A93" s="11" t="s">
        <v>15</v>
      </c>
      <c r="B93" s="11">
        <v>1772</v>
      </c>
      <c r="C93" s="11">
        <v>2007</v>
      </c>
    </row>
    <row r="94" spans="1:3" x14ac:dyDescent="0.25">
      <c r="A94" s="11" t="s">
        <v>6</v>
      </c>
      <c r="B94" s="11">
        <v>34123</v>
      </c>
      <c r="C94" s="11">
        <v>2007</v>
      </c>
    </row>
    <row r="95" spans="1:3" x14ac:dyDescent="0.25">
      <c r="A95" s="11" t="s">
        <v>5</v>
      </c>
      <c r="B95" s="11">
        <f>8508-2568</f>
        <v>5940</v>
      </c>
      <c r="C95" s="11">
        <v>2008</v>
      </c>
    </row>
    <row r="96" spans="1:3" x14ac:dyDescent="0.25">
      <c r="A96" s="11" t="s">
        <v>15</v>
      </c>
      <c r="B96" s="11">
        <v>1790</v>
      </c>
      <c r="C96" s="11">
        <v>2008</v>
      </c>
    </row>
    <row r="97" spans="1:3" x14ac:dyDescent="0.25">
      <c r="A97" s="11" t="s">
        <v>6</v>
      </c>
      <c r="B97" s="11">
        <v>34480</v>
      </c>
      <c r="C97" s="11">
        <v>2008</v>
      </c>
    </row>
    <row r="98" spans="1:3" x14ac:dyDescent="0.25">
      <c r="A98" s="11" t="s">
        <v>5</v>
      </c>
      <c r="B98" s="11">
        <f>8328-2560</f>
        <v>5768</v>
      </c>
      <c r="C98" s="11">
        <v>2009</v>
      </c>
    </row>
    <row r="99" spans="1:3" x14ac:dyDescent="0.25">
      <c r="A99" s="11" t="s">
        <v>15</v>
      </c>
      <c r="B99" s="11">
        <v>1753</v>
      </c>
      <c r="C99" s="11">
        <v>2009</v>
      </c>
    </row>
    <row r="100" spans="1:3" x14ac:dyDescent="0.25">
      <c r="A100" s="11" t="s">
        <v>6</v>
      </c>
      <c r="B100" s="11">
        <v>33749</v>
      </c>
      <c r="C100" s="11">
        <v>2009</v>
      </c>
    </row>
    <row r="101" spans="1:3" x14ac:dyDescent="0.25">
      <c r="A101" s="11" t="s">
        <v>5</v>
      </c>
      <c r="B101" s="11">
        <f>7726-2545</f>
        <v>5181</v>
      </c>
      <c r="C101" s="11">
        <v>2010</v>
      </c>
    </row>
    <row r="102" spans="1:3" x14ac:dyDescent="0.25">
      <c r="A102" s="11" t="s">
        <v>15</v>
      </c>
      <c r="B102" s="11">
        <v>1710</v>
      </c>
      <c r="C102" s="11">
        <v>2010</v>
      </c>
    </row>
    <row r="103" spans="1:3" x14ac:dyDescent="0.25">
      <c r="A103" s="11" t="s">
        <v>6</v>
      </c>
      <c r="B103" s="11">
        <v>32669</v>
      </c>
      <c r="C103" s="11">
        <v>2010</v>
      </c>
    </row>
    <row r="104" spans="1:3" x14ac:dyDescent="0.25">
      <c r="A104" s="11" t="s">
        <v>5</v>
      </c>
      <c r="B104" s="11">
        <v>5000</v>
      </c>
      <c r="C104" s="11">
        <v>2011</v>
      </c>
    </row>
    <row r="105" spans="1:3" x14ac:dyDescent="0.25">
      <c r="A105" s="11" t="s">
        <v>15</v>
      </c>
      <c r="B105" s="11">
        <v>1700</v>
      </c>
      <c r="C105" s="11">
        <v>2011</v>
      </c>
    </row>
    <row r="106" spans="1:3" x14ac:dyDescent="0.25">
      <c r="A106" s="11" t="s">
        <v>6</v>
      </c>
      <c r="B106" s="11">
        <v>32600</v>
      </c>
      <c r="C106" s="11">
        <v>2011</v>
      </c>
    </row>
    <row r="107" spans="1:3" x14ac:dyDescent="0.25">
      <c r="A107" s="11" t="s">
        <v>5</v>
      </c>
      <c r="B107" s="11">
        <v>0</v>
      </c>
      <c r="C107" s="11">
        <v>2007</v>
      </c>
    </row>
    <row r="108" spans="1:3" x14ac:dyDescent="0.25">
      <c r="A108" s="11" t="s">
        <v>15</v>
      </c>
      <c r="B108" s="11">
        <f>5374</f>
        <v>5374</v>
      </c>
      <c r="C108" s="11">
        <v>2007</v>
      </c>
    </row>
    <row r="109" spans="1:3" x14ac:dyDescent="0.25">
      <c r="A109" s="11" t="s">
        <v>6</v>
      </c>
      <c r="B109" s="11">
        <v>34022</v>
      </c>
      <c r="C109" s="11">
        <v>2007</v>
      </c>
    </row>
    <row r="110" spans="1:3" x14ac:dyDescent="0.25">
      <c r="A110" s="11" t="s">
        <v>5</v>
      </c>
      <c r="B110" s="11">
        <f>3695-1945</f>
        <v>1750</v>
      </c>
      <c r="C110" s="11">
        <v>2008</v>
      </c>
    </row>
    <row r="111" spans="1:3" x14ac:dyDescent="0.25">
      <c r="A111" s="11" t="s">
        <v>15</v>
      </c>
      <c r="B111" s="11">
        <v>5712</v>
      </c>
      <c r="C111" s="11">
        <v>2008</v>
      </c>
    </row>
    <row r="112" spans="1:3" x14ac:dyDescent="0.25">
      <c r="A112" s="11" t="s">
        <v>6</v>
      </c>
      <c r="B112" s="11">
        <v>33266</v>
      </c>
      <c r="C112" s="11">
        <v>2008</v>
      </c>
    </row>
    <row r="113" spans="1:3" x14ac:dyDescent="0.25">
      <c r="A113" s="11" t="s">
        <v>5</v>
      </c>
      <c r="B113" s="11">
        <f>4198-2379</f>
        <v>1819</v>
      </c>
      <c r="C113" s="11">
        <v>2009</v>
      </c>
    </row>
    <row r="114" spans="1:3" x14ac:dyDescent="0.25">
      <c r="A114" s="11" t="s">
        <v>15</v>
      </c>
      <c r="B114" s="11">
        <v>5756</v>
      </c>
      <c r="C114" s="11">
        <v>2009</v>
      </c>
    </row>
    <row r="115" spans="1:3" x14ac:dyDescent="0.25">
      <c r="A115" s="11" t="s">
        <v>6</v>
      </c>
      <c r="B115" s="11">
        <v>31767</v>
      </c>
      <c r="C115" s="11">
        <v>2009</v>
      </c>
    </row>
    <row r="116" spans="1:3" x14ac:dyDescent="0.25">
      <c r="A116" s="11" t="s">
        <v>5</v>
      </c>
      <c r="B116" s="11">
        <f>4174-2581</f>
        <v>1593</v>
      </c>
      <c r="C116" s="11">
        <v>2010</v>
      </c>
    </row>
    <row r="117" spans="1:3" x14ac:dyDescent="0.25">
      <c r="A117" s="11" t="s">
        <v>15</v>
      </c>
      <c r="B117" s="11">
        <v>5823</v>
      </c>
      <c r="C117" s="11">
        <v>2010</v>
      </c>
    </row>
    <row r="118" spans="1:3" x14ac:dyDescent="0.25">
      <c r="A118" s="11" t="s">
        <v>6</v>
      </c>
      <c r="B118" s="11">
        <v>30915</v>
      </c>
      <c r="C118" s="11">
        <v>2010</v>
      </c>
    </row>
    <row r="119" spans="1:3" x14ac:dyDescent="0.25">
      <c r="A119" s="11" t="s">
        <v>5</v>
      </c>
      <c r="B119" s="11">
        <v>2083</v>
      </c>
      <c r="C119" s="11">
        <v>2011</v>
      </c>
    </row>
    <row r="120" spans="1:3" x14ac:dyDescent="0.25">
      <c r="A120" s="11" t="s">
        <v>15</v>
      </c>
      <c r="B120" s="11">
        <v>5793</v>
      </c>
      <c r="C120" s="11">
        <v>2011</v>
      </c>
    </row>
    <row r="121" spans="1:3" x14ac:dyDescent="0.25">
      <c r="A121" s="11" t="s">
        <v>6</v>
      </c>
      <c r="B121" s="11">
        <v>29882</v>
      </c>
      <c r="C121" s="11">
        <v>2011</v>
      </c>
    </row>
    <row r="122" spans="1:3" x14ac:dyDescent="0.25">
      <c r="A122" s="11" t="s">
        <v>5</v>
      </c>
      <c r="B122" s="11">
        <f>2275+3018+14-1620</f>
        <v>3687</v>
      </c>
      <c r="C122" s="11">
        <v>2007</v>
      </c>
    </row>
    <row r="123" spans="1:3" x14ac:dyDescent="0.25">
      <c r="A123" s="11" t="s">
        <v>15</v>
      </c>
      <c r="B123" s="11">
        <f>106+879+1506+6</f>
        <v>2497</v>
      </c>
      <c r="C123" s="11">
        <v>2007</v>
      </c>
    </row>
    <row r="124" spans="1:3" x14ac:dyDescent="0.25">
      <c r="A124" s="11" t="s">
        <v>6</v>
      </c>
      <c r="B124" s="11">
        <f>2913+20742+28034+164+73</f>
        <v>51926</v>
      </c>
      <c r="C124" s="11">
        <v>2007</v>
      </c>
    </row>
    <row r="125" spans="1:3" x14ac:dyDescent="0.25">
      <c r="A125" s="11" t="s">
        <v>5</v>
      </c>
      <c r="B125" s="11">
        <f>393+2455+25-1600</f>
        <v>1273</v>
      </c>
      <c r="C125" s="11">
        <v>2008</v>
      </c>
    </row>
    <row r="126" spans="1:3" x14ac:dyDescent="0.25">
      <c r="A126" s="11" t="s">
        <v>15</v>
      </c>
      <c r="B126" s="11">
        <f>1127+1650+7</f>
        <v>2784</v>
      </c>
      <c r="C126" s="11">
        <v>2008</v>
      </c>
    </row>
    <row r="127" spans="1:3" x14ac:dyDescent="0.25">
      <c r="A127" s="11" t="s">
        <v>6</v>
      </c>
      <c r="B127" s="11">
        <f>2926+19587+26407+163+75</f>
        <v>49158</v>
      </c>
      <c r="C127" s="11">
        <v>2008</v>
      </c>
    </row>
    <row r="128" spans="1:3" x14ac:dyDescent="0.25">
      <c r="A128" s="11" t="s">
        <v>5</v>
      </c>
      <c r="B128" s="13">
        <f>396+2587+3964+60-1500</f>
        <v>5507</v>
      </c>
      <c r="C128" s="11">
        <v>2009</v>
      </c>
    </row>
    <row r="129" spans="1:3" x14ac:dyDescent="0.25">
      <c r="A129" s="11" t="s">
        <v>15</v>
      </c>
      <c r="B129" s="11">
        <f>118+981+1646+9+6</f>
        <v>2760</v>
      </c>
      <c r="C129" s="11">
        <v>2009</v>
      </c>
    </row>
    <row r="130" spans="1:3" x14ac:dyDescent="0.25">
      <c r="A130" s="11" t="s">
        <v>6</v>
      </c>
      <c r="B130" s="11">
        <f>2740+18322+25387+198+113</f>
        <v>46760</v>
      </c>
      <c r="C130" s="11">
        <v>2009</v>
      </c>
    </row>
    <row r="131" spans="1:3" x14ac:dyDescent="0.25">
      <c r="A131" s="11" t="s">
        <v>5</v>
      </c>
      <c r="B131" s="11">
        <f>396+2563+3889+33+29-1433</f>
        <v>5477</v>
      </c>
      <c r="C131" s="11">
        <v>2010</v>
      </c>
    </row>
    <row r="132" spans="1:3" x14ac:dyDescent="0.25">
      <c r="A132" s="11" t="s">
        <v>15</v>
      </c>
      <c r="B132" s="11">
        <f>130+954+1650+7</f>
        <v>2741</v>
      </c>
      <c r="C132" s="11">
        <v>2010</v>
      </c>
    </row>
    <row r="133" spans="1:3" x14ac:dyDescent="0.25">
      <c r="A133" s="11" t="s">
        <v>6</v>
      </c>
      <c r="B133" s="11">
        <f>2910+16725+24686+192+108</f>
        <v>44621</v>
      </c>
      <c r="C133" s="11">
        <v>2010</v>
      </c>
    </row>
    <row r="134" spans="1:3" x14ac:dyDescent="0.25">
      <c r="A134" s="11" t="s">
        <v>5</v>
      </c>
      <c r="B134" s="11">
        <v>3585</v>
      </c>
      <c r="C134" s="11">
        <v>2011</v>
      </c>
    </row>
    <row r="135" spans="1:3" x14ac:dyDescent="0.25">
      <c r="A135" s="11" t="s">
        <v>15</v>
      </c>
      <c r="B135" s="11">
        <v>2509</v>
      </c>
      <c r="C135" s="11">
        <v>2011</v>
      </c>
    </row>
    <row r="136" spans="1:3" x14ac:dyDescent="0.25">
      <c r="A136" s="11" t="s">
        <v>6</v>
      </c>
      <c r="B136" s="11">
        <v>41702</v>
      </c>
      <c r="C136" s="11">
        <v>2011</v>
      </c>
    </row>
    <row r="137" spans="1:3" x14ac:dyDescent="0.25">
      <c r="A137" s="11" t="s">
        <v>5</v>
      </c>
      <c r="B137" s="11">
        <f>8503-1000</f>
        <v>7503</v>
      </c>
      <c r="C137" s="11">
        <v>2007</v>
      </c>
    </row>
    <row r="138" spans="1:3" x14ac:dyDescent="0.25">
      <c r="A138" s="11" t="s">
        <v>15</v>
      </c>
      <c r="B138" s="11">
        <v>2603</v>
      </c>
      <c r="C138" s="11">
        <v>2007</v>
      </c>
    </row>
    <row r="139" spans="1:3" x14ac:dyDescent="0.25">
      <c r="A139" s="11" t="s">
        <v>6</v>
      </c>
      <c r="B139" s="11">
        <v>24373</v>
      </c>
      <c r="C139" s="11">
        <v>2007</v>
      </c>
    </row>
    <row r="140" spans="1:3" x14ac:dyDescent="0.25">
      <c r="A140" s="11" t="s">
        <v>5</v>
      </c>
      <c r="B140" s="11">
        <f>9402-1450</f>
        <v>7952</v>
      </c>
      <c r="C140" s="11">
        <v>2008</v>
      </c>
    </row>
    <row r="141" spans="1:3" x14ac:dyDescent="0.25">
      <c r="A141" s="11" t="s">
        <v>15</v>
      </c>
      <c r="B141" s="11">
        <v>2693</v>
      </c>
      <c r="C141" s="11">
        <v>2008</v>
      </c>
    </row>
    <row r="142" spans="1:3" x14ac:dyDescent="0.25">
      <c r="A142" s="11" t="s">
        <v>6</v>
      </c>
      <c r="B142" s="11">
        <v>24393</v>
      </c>
      <c r="C142" s="11">
        <v>2008</v>
      </c>
    </row>
    <row r="143" spans="1:3" x14ac:dyDescent="0.25">
      <c r="A143" s="11" t="s">
        <v>5</v>
      </c>
      <c r="B143" s="11">
        <f>9866-1423</f>
        <v>8443</v>
      </c>
      <c r="C143" s="11">
        <v>2009</v>
      </c>
    </row>
    <row r="144" spans="1:3" x14ac:dyDescent="0.25">
      <c r="A144" s="11" t="s">
        <v>15</v>
      </c>
      <c r="B144" s="11">
        <v>2651</v>
      </c>
      <c r="C144" s="11">
        <v>2009</v>
      </c>
    </row>
    <row r="145" spans="1:3" x14ac:dyDescent="0.25">
      <c r="A145" s="11" t="s">
        <v>6</v>
      </c>
      <c r="B145" s="11">
        <v>23739</v>
      </c>
      <c r="C145" s="11">
        <v>2009</v>
      </c>
    </row>
    <row r="146" spans="1:3" x14ac:dyDescent="0.25">
      <c r="A146" s="11" t="s">
        <v>5</v>
      </c>
      <c r="B146" s="11">
        <f>10090-1560</f>
        <v>8530</v>
      </c>
      <c r="C146" s="11">
        <v>2010</v>
      </c>
    </row>
    <row r="147" spans="1:3" x14ac:dyDescent="0.25">
      <c r="A147" s="11" t="s">
        <v>15</v>
      </c>
      <c r="B147" s="11">
        <v>2633</v>
      </c>
      <c r="C147" s="11">
        <v>2010</v>
      </c>
    </row>
    <row r="148" spans="1:3" x14ac:dyDescent="0.25">
      <c r="A148" s="11" t="s">
        <v>6</v>
      </c>
      <c r="B148" s="11">
        <v>23426</v>
      </c>
      <c r="C148" s="11">
        <v>2010</v>
      </c>
    </row>
    <row r="149" spans="1:3" x14ac:dyDescent="0.25">
      <c r="A149" s="11" t="s">
        <v>5</v>
      </c>
      <c r="B149" s="11">
        <v>8473</v>
      </c>
      <c r="C149" s="11">
        <v>2011</v>
      </c>
    </row>
    <row r="150" spans="1:3" x14ac:dyDescent="0.25">
      <c r="A150" s="11" t="s">
        <v>15</v>
      </c>
      <c r="B150" s="11">
        <v>2616</v>
      </c>
      <c r="C150" s="11">
        <v>2011</v>
      </c>
    </row>
    <row r="151" spans="1:3" x14ac:dyDescent="0.25">
      <c r="A151" s="11" t="s">
        <v>6</v>
      </c>
      <c r="B151" s="11">
        <v>23048</v>
      </c>
      <c r="C151" s="11">
        <v>2011</v>
      </c>
    </row>
    <row r="152" spans="1:3" x14ac:dyDescent="0.25">
      <c r="A152" s="11" t="s">
        <v>5</v>
      </c>
      <c r="B152" s="11">
        <f>14890-4467</f>
        <v>10423</v>
      </c>
      <c r="C152" s="11">
        <v>2007</v>
      </c>
    </row>
    <row r="153" spans="1:3" x14ac:dyDescent="0.25">
      <c r="A153" s="11" t="s">
        <v>15</v>
      </c>
      <c r="B153" s="11">
        <v>51050</v>
      </c>
      <c r="C153" s="11">
        <v>2007</v>
      </c>
    </row>
    <row r="154" spans="1:3" x14ac:dyDescent="0.25">
      <c r="A154" s="11" t="s">
        <v>6</v>
      </c>
      <c r="B154" s="11">
        <v>0</v>
      </c>
      <c r="C154" s="11">
        <v>2007</v>
      </c>
    </row>
    <row r="155" spans="1:3" x14ac:dyDescent="0.25">
      <c r="A155" s="11" t="s">
        <v>5</v>
      </c>
      <c r="B155" s="11">
        <f>17864-4882</f>
        <v>12982</v>
      </c>
      <c r="C155" s="11">
        <v>2008</v>
      </c>
    </row>
    <row r="156" spans="1:3" x14ac:dyDescent="0.25">
      <c r="A156" s="11" t="s">
        <v>15</v>
      </c>
      <c r="B156" s="11">
        <v>52625</v>
      </c>
      <c r="C156" s="11">
        <v>2008</v>
      </c>
    </row>
    <row r="157" spans="1:3" x14ac:dyDescent="0.25">
      <c r="A157" s="11" t="s">
        <v>6</v>
      </c>
      <c r="B157" s="11">
        <v>0</v>
      </c>
      <c r="C157" s="11">
        <v>2008</v>
      </c>
    </row>
    <row r="158" spans="1:3" x14ac:dyDescent="0.25">
      <c r="A158" s="11" t="s">
        <v>5</v>
      </c>
      <c r="B158" s="11">
        <f>19096-4919</f>
        <v>14177</v>
      </c>
      <c r="C158" s="11">
        <v>2009</v>
      </c>
    </row>
    <row r="159" spans="1:3" x14ac:dyDescent="0.25">
      <c r="A159" s="11" t="s">
        <v>15</v>
      </c>
      <c r="B159" s="11">
        <v>51233</v>
      </c>
      <c r="C159" s="11">
        <v>2009</v>
      </c>
    </row>
    <row r="160" spans="1:3" x14ac:dyDescent="0.25">
      <c r="A160" s="11" t="s">
        <v>6</v>
      </c>
      <c r="B160" s="11">
        <v>159</v>
      </c>
      <c r="C160" s="11">
        <v>2009</v>
      </c>
    </row>
    <row r="161" spans="1:3" x14ac:dyDescent="0.25">
      <c r="A161" s="11" t="s">
        <v>5</v>
      </c>
      <c r="B161" s="11">
        <f>19961-4977</f>
        <v>14984</v>
      </c>
      <c r="C161" s="11">
        <v>2010</v>
      </c>
    </row>
    <row r="162" spans="1:3" x14ac:dyDescent="0.25">
      <c r="A162" s="11" t="s">
        <v>15</v>
      </c>
      <c r="B162" s="11">
        <v>49983</v>
      </c>
      <c r="C162" s="11">
        <v>2010</v>
      </c>
    </row>
    <row r="163" spans="1:3" x14ac:dyDescent="0.25">
      <c r="A163" s="11" t="s">
        <v>6</v>
      </c>
      <c r="B163" s="11">
        <v>824</v>
      </c>
      <c r="C163" s="11">
        <v>2010</v>
      </c>
    </row>
    <row r="164" spans="1:3" x14ac:dyDescent="0.25">
      <c r="A164" s="11" t="s">
        <v>5</v>
      </c>
      <c r="B164" s="11">
        <v>15237</v>
      </c>
      <c r="C164" s="11">
        <v>2011</v>
      </c>
    </row>
    <row r="165" spans="1:3" x14ac:dyDescent="0.25">
      <c r="A165" s="11" t="s">
        <v>15</v>
      </c>
      <c r="B165" s="11">
        <v>47662</v>
      </c>
      <c r="C165" s="11">
        <v>2011</v>
      </c>
    </row>
    <row r="166" spans="1:3" x14ac:dyDescent="0.25">
      <c r="A166" s="11" t="s">
        <v>6</v>
      </c>
      <c r="B166" s="11">
        <v>1317</v>
      </c>
      <c r="C166" s="11">
        <v>2011</v>
      </c>
    </row>
    <row r="167" spans="1:3" x14ac:dyDescent="0.25">
      <c r="A167" s="11" t="s">
        <v>5</v>
      </c>
      <c r="B167" s="11">
        <v>828</v>
      </c>
      <c r="C167" s="11">
        <v>2007</v>
      </c>
    </row>
    <row r="168" spans="1:3" x14ac:dyDescent="0.25">
      <c r="A168" s="11" t="s">
        <v>6</v>
      </c>
      <c r="B168" s="11">
        <v>14009</v>
      </c>
      <c r="C168" s="11">
        <v>2007</v>
      </c>
    </row>
    <row r="169" spans="1:3" x14ac:dyDescent="0.25">
      <c r="A169" s="11" t="s">
        <v>15</v>
      </c>
      <c r="B169" s="11">
        <v>0</v>
      </c>
      <c r="C169" s="11">
        <v>2007</v>
      </c>
    </row>
    <row r="170" spans="1:3" x14ac:dyDescent="0.25">
      <c r="A170" s="11" t="s">
        <v>5</v>
      </c>
      <c r="B170" s="11">
        <v>1366</v>
      </c>
      <c r="C170" s="11">
        <v>2008</v>
      </c>
    </row>
    <row r="171" spans="1:3" x14ac:dyDescent="0.25">
      <c r="A171" s="11" t="s">
        <v>6</v>
      </c>
      <c r="B171" s="11">
        <v>16985</v>
      </c>
      <c r="C171" s="11">
        <v>2008</v>
      </c>
    </row>
    <row r="172" spans="1:3" x14ac:dyDescent="0.25">
      <c r="A172" s="11" t="s">
        <v>15</v>
      </c>
      <c r="B172" s="11">
        <v>209</v>
      </c>
      <c r="C172" s="11">
        <v>2008</v>
      </c>
    </row>
    <row r="173" spans="1:3" x14ac:dyDescent="0.25">
      <c r="A173" s="11" t="s">
        <v>5</v>
      </c>
      <c r="B173" s="11">
        <v>232</v>
      </c>
      <c r="C173" s="11">
        <v>2009</v>
      </c>
    </row>
    <row r="174" spans="1:3" x14ac:dyDescent="0.25">
      <c r="A174" s="11" t="s">
        <v>6</v>
      </c>
      <c r="B174" s="11">
        <v>16062</v>
      </c>
      <c r="C174" s="11">
        <v>2009</v>
      </c>
    </row>
    <row r="175" spans="1:3" x14ac:dyDescent="0.25">
      <c r="A175" s="11" t="s">
        <v>15</v>
      </c>
      <c r="B175" s="11">
        <v>1436</v>
      </c>
      <c r="C175" s="11">
        <v>2009</v>
      </c>
    </row>
    <row r="176" spans="1:3" x14ac:dyDescent="0.25">
      <c r="A176" s="11" t="s">
        <v>5</v>
      </c>
      <c r="B176" s="11">
        <v>1400</v>
      </c>
      <c r="C176" s="11">
        <v>2010</v>
      </c>
    </row>
    <row r="177" spans="1:3" x14ac:dyDescent="0.25">
      <c r="A177" s="11" t="s">
        <v>6</v>
      </c>
      <c r="B177" s="11">
        <v>15187</v>
      </c>
      <c r="C177" s="11">
        <v>2010</v>
      </c>
    </row>
    <row r="178" spans="1:3" x14ac:dyDescent="0.25">
      <c r="A178" s="11" t="s">
        <v>15</v>
      </c>
      <c r="B178" s="11">
        <v>256</v>
      </c>
      <c r="C178" s="11">
        <v>2010</v>
      </c>
    </row>
    <row r="179" spans="1:3" x14ac:dyDescent="0.25">
      <c r="A179" s="11" t="s">
        <v>5</v>
      </c>
      <c r="B179" s="11">
        <v>1402</v>
      </c>
      <c r="C179" s="11">
        <v>2011</v>
      </c>
    </row>
    <row r="180" spans="1:3" x14ac:dyDescent="0.25">
      <c r="A180" s="11" t="s">
        <v>6</v>
      </c>
      <c r="B180" s="11">
        <v>14436</v>
      </c>
      <c r="C180" s="11">
        <v>2011</v>
      </c>
    </row>
    <row r="181" spans="1:3" x14ac:dyDescent="0.25">
      <c r="A181" s="11" t="s">
        <v>15</v>
      </c>
      <c r="B181" s="11">
        <v>276</v>
      </c>
      <c r="C181" s="11">
        <v>2011</v>
      </c>
    </row>
    <row r="182" spans="1:3" x14ac:dyDescent="0.25">
      <c r="A182" s="11" t="s">
        <v>5</v>
      </c>
      <c r="B182" s="11">
        <v>1959</v>
      </c>
      <c r="C182" s="11">
        <v>2007</v>
      </c>
    </row>
    <row r="183" spans="1:3" x14ac:dyDescent="0.25">
      <c r="A183" s="11" t="s">
        <v>6</v>
      </c>
      <c r="B183" s="11">
        <v>9495</v>
      </c>
      <c r="C183" s="11">
        <v>2007</v>
      </c>
    </row>
    <row r="184" spans="1:3" x14ac:dyDescent="0.25">
      <c r="A184" s="11" t="s">
        <v>15</v>
      </c>
      <c r="B184" s="11">
        <v>1331</v>
      </c>
      <c r="C184" s="11">
        <v>2007</v>
      </c>
    </row>
    <row r="185" spans="1:3" x14ac:dyDescent="0.25">
      <c r="A185" s="11" t="s">
        <v>5</v>
      </c>
      <c r="B185" s="11">
        <v>2142</v>
      </c>
      <c r="C185" s="11">
        <v>2008</v>
      </c>
    </row>
    <row r="186" spans="1:3" x14ac:dyDescent="0.25">
      <c r="A186" s="11" t="s">
        <v>6</v>
      </c>
      <c r="B186" s="11">
        <v>8980</v>
      </c>
      <c r="C186" s="11">
        <v>2008</v>
      </c>
    </row>
    <row r="187" spans="1:3" x14ac:dyDescent="0.25">
      <c r="A187" s="11" t="s">
        <v>15</v>
      </c>
      <c r="B187" s="11">
        <v>1344</v>
      </c>
      <c r="C187" s="11">
        <v>2008</v>
      </c>
    </row>
    <row r="188" spans="1:3" x14ac:dyDescent="0.25">
      <c r="A188" s="11" t="s">
        <v>5</v>
      </c>
      <c r="B188" s="11">
        <v>2216</v>
      </c>
      <c r="C188" s="11">
        <v>2009</v>
      </c>
    </row>
    <row r="189" spans="1:3" x14ac:dyDescent="0.25">
      <c r="A189" s="11" t="s">
        <v>6</v>
      </c>
      <c r="B189" s="11">
        <v>8624</v>
      </c>
      <c r="C189" s="11">
        <v>2009</v>
      </c>
    </row>
    <row r="190" spans="1:3" x14ac:dyDescent="0.25">
      <c r="A190" s="11" t="s">
        <v>15</v>
      </c>
      <c r="B190" s="11">
        <v>1354</v>
      </c>
      <c r="C190" s="11">
        <v>2009</v>
      </c>
    </row>
    <row r="191" spans="1:3" x14ac:dyDescent="0.25">
      <c r="A191" s="11" t="s">
        <v>5</v>
      </c>
      <c r="B191" s="11">
        <v>2658</v>
      </c>
      <c r="C191" s="11">
        <v>2010</v>
      </c>
    </row>
    <row r="192" spans="1:3" x14ac:dyDescent="0.25">
      <c r="A192" s="11" t="s">
        <v>6</v>
      </c>
      <c r="B192" s="11">
        <v>8206</v>
      </c>
      <c r="C192" s="11">
        <v>2010</v>
      </c>
    </row>
    <row r="193" spans="1:3" x14ac:dyDescent="0.25">
      <c r="A193" s="11" t="s">
        <v>15</v>
      </c>
      <c r="B193" s="11">
        <v>1332</v>
      </c>
      <c r="C193" s="11">
        <v>2010</v>
      </c>
    </row>
    <row r="194" spans="1:3" x14ac:dyDescent="0.25">
      <c r="A194" s="11" t="s">
        <v>5</v>
      </c>
      <c r="B194" s="11">
        <v>2215</v>
      </c>
      <c r="C194" s="11">
        <v>2011</v>
      </c>
    </row>
    <row r="195" spans="1:3" x14ac:dyDescent="0.25">
      <c r="A195" s="11" t="s">
        <v>6</v>
      </c>
      <c r="B195" s="11">
        <v>8094</v>
      </c>
      <c r="C195" s="11">
        <v>2011</v>
      </c>
    </row>
    <row r="196" spans="1:3" x14ac:dyDescent="0.25">
      <c r="A196" s="11" t="s">
        <v>15</v>
      </c>
      <c r="B196" s="11">
        <v>1306</v>
      </c>
      <c r="C196" s="11">
        <v>2011</v>
      </c>
    </row>
  </sheetData>
  <pageMargins left="0.7" right="0.7" top="0.75" bottom="0.75" header="0.3" footer="0.3"/>
  <drawing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121"/>
  <sheetViews>
    <sheetView topLeftCell="E1" workbookViewId="0">
      <selection activeCell="L15" sqref="L15:M18"/>
    </sheetView>
  </sheetViews>
  <sheetFormatPr defaultRowHeight="15" x14ac:dyDescent="0.25"/>
  <cols>
    <col min="1" max="3" width="9.140625" style="11"/>
    <col min="5" max="5" width="4.5703125" customWidth="1"/>
    <col min="6" max="6" width="14.5703125" customWidth="1"/>
  </cols>
  <sheetData>
    <row r="1" spans="1:13" s="6" customFormat="1" x14ac:dyDescent="0.25">
      <c r="A1" s="10" t="s">
        <v>2</v>
      </c>
      <c r="B1" s="10" t="s">
        <v>1</v>
      </c>
      <c r="C1" s="10" t="s">
        <v>26</v>
      </c>
    </row>
    <row r="2" spans="1:13" x14ac:dyDescent="0.25">
      <c r="A2" s="12" t="s">
        <v>28</v>
      </c>
      <c r="B2" s="12">
        <f>43838</f>
        <v>43838</v>
      </c>
      <c r="C2" s="12">
        <v>2007</v>
      </c>
    </row>
    <row r="3" spans="1:13" x14ac:dyDescent="0.25">
      <c r="A3" s="12" t="s">
        <v>29</v>
      </c>
      <c r="B3" s="12">
        <v>186748</v>
      </c>
      <c r="C3" s="12">
        <v>2007</v>
      </c>
    </row>
    <row r="4" spans="1:13" x14ac:dyDescent="0.25">
      <c r="A4" s="12" t="s">
        <v>6</v>
      </c>
      <c r="B4" s="12">
        <v>228648</v>
      </c>
      <c r="C4" s="12">
        <v>2007</v>
      </c>
    </row>
    <row r="5" spans="1:13" x14ac:dyDescent="0.25">
      <c r="A5" s="12" t="s">
        <v>15</v>
      </c>
      <c r="B5" s="12">
        <v>14888</v>
      </c>
      <c r="C5" s="12">
        <v>2007</v>
      </c>
      <c r="G5">
        <v>2007</v>
      </c>
      <c r="H5">
        <v>2008</v>
      </c>
      <c r="I5">
        <v>2009</v>
      </c>
      <c r="J5">
        <v>2010</v>
      </c>
      <c r="K5">
        <v>2011</v>
      </c>
      <c r="L5" t="s">
        <v>95</v>
      </c>
      <c r="M5" t="s">
        <v>95</v>
      </c>
    </row>
    <row r="6" spans="1:13" x14ac:dyDescent="0.25">
      <c r="A6" s="12" t="s">
        <v>29</v>
      </c>
      <c r="B6" s="12">
        <v>192827</v>
      </c>
      <c r="C6" s="12">
        <v>2008</v>
      </c>
      <c r="F6" t="s">
        <v>83</v>
      </c>
      <c r="G6">
        <f>B2+B23+B43+B63+B83+B102</f>
        <v>54115</v>
      </c>
      <c r="H6">
        <f>B7+B27+B47+B67+B87+B106</f>
        <v>102327</v>
      </c>
      <c r="I6">
        <f>B11+B31+B51+B71+B91+B110</f>
        <v>110876</v>
      </c>
      <c r="J6">
        <f>B15+B35+B55+B75+B95+B114</f>
        <v>118255</v>
      </c>
      <c r="K6">
        <f>B18+B38+B58+B78+B99+B118</f>
        <v>131273</v>
      </c>
      <c r="L6" t="s">
        <v>83</v>
      </c>
      <c r="M6">
        <f>SUM(G6:K6)</f>
        <v>516846</v>
      </c>
    </row>
    <row r="7" spans="1:13" x14ac:dyDescent="0.25">
      <c r="A7" s="12" t="s">
        <v>28</v>
      </c>
      <c r="B7" s="12">
        <f>54530-20576</f>
        <v>33954</v>
      </c>
      <c r="C7" s="12">
        <v>2008</v>
      </c>
      <c r="F7" t="s">
        <v>87</v>
      </c>
      <c r="G7">
        <f>SUMIFS(B2:B121,A2:A121,"Prudente",C2:C121,"2007")</f>
        <v>208177</v>
      </c>
      <c r="H7">
        <f>SUMIFS(B2:B121,A2:A121,"Prudente",C2:C121,"2008")</f>
        <v>298074</v>
      </c>
      <c r="I7">
        <f>SUMIFS(B2:B121,A2:A121,"Prudente",C2:C121,"2009")</f>
        <v>296388</v>
      </c>
      <c r="J7">
        <f>SUMIFS(B2:B121,A2:A121,"Prudente",C2:C121,"2010")</f>
        <v>289828</v>
      </c>
      <c r="K7">
        <f>SUMIFS(B2:B121,A2:A121,"Prudente",C2:C121,"2011")</f>
        <v>294620</v>
      </c>
      <c r="L7" t="s">
        <v>87</v>
      </c>
      <c r="M7">
        <f>SUM(G7:K7)</f>
        <v>1387087</v>
      </c>
    </row>
    <row r="8" spans="1:13" x14ac:dyDescent="0.25">
      <c r="A8" s="12" t="s">
        <v>6</v>
      </c>
      <c r="B8" s="12">
        <v>211936</v>
      </c>
      <c r="C8" s="12">
        <v>2008</v>
      </c>
      <c r="F8" t="s">
        <v>84</v>
      </c>
      <c r="G8">
        <f>SUMIFS(B2:B121,A2:A121,"Bilanciato",C2:C121,"2007")</f>
        <v>370251</v>
      </c>
      <c r="H8">
        <f>SUMIFS(B2:B121,A2:A121,"Bilanciato",C2:C121,"2008")</f>
        <v>419104</v>
      </c>
      <c r="I8">
        <f>SUMIFS(B2:B121,A2:A121,"Bilanciato",C2:C121,"2009")</f>
        <v>399422</v>
      </c>
      <c r="J8">
        <f>SUMIFS(B2:B121,A2:A121,"Bilanciato",C2:C121,"2010")</f>
        <v>381707</v>
      </c>
      <c r="K8">
        <f>SUMIFS(B2:B121,A2:A121,"Bilanciato",C2:C121,"2011")</f>
        <v>367526</v>
      </c>
      <c r="L8" t="s">
        <v>84</v>
      </c>
      <c r="M8">
        <f>SUM(G8:K8)</f>
        <v>1938010</v>
      </c>
    </row>
    <row r="9" spans="1:13" x14ac:dyDescent="0.25">
      <c r="A9" s="12" t="s">
        <v>15</v>
      </c>
      <c r="B9" s="12">
        <v>15090</v>
      </c>
      <c r="C9" s="12">
        <v>2008</v>
      </c>
      <c r="F9" t="s">
        <v>86</v>
      </c>
      <c r="G9">
        <f>SUMIFS(B2:B121,A2:A121,"Dinamico",C2:C121,"2007")</f>
        <v>25282</v>
      </c>
      <c r="H9">
        <f>SUMIFS(B2:B121,A2:A121,"Dinamico",C2:C121,"2008")</f>
        <v>25410</v>
      </c>
      <c r="I9">
        <f>SUMIFS(B2:B121,A2:A121,"Dinamico",C2:C121,"2009")</f>
        <v>26144</v>
      </c>
      <c r="J9">
        <f>SUMIFS(B2:B121,A2:A121,"Dinamico",C2:C121,"2010")</f>
        <v>27120</v>
      </c>
      <c r="K9">
        <f>SUMIFS(B2:B121,A2:A121,"Dinamico",C2:C121,"2011")</f>
        <v>28049</v>
      </c>
      <c r="L9" t="s">
        <v>86</v>
      </c>
      <c r="M9">
        <f>SUM(G9:K9)</f>
        <v>132005</v>
      </c>
    </row>
    <row r="10" spans="1:13" x14ac:dyDescent="0.25">
      <c r="A10" s="12" t="s">
        <v>29</v>
      </c>
      <c r="B10" s="12">
        <v>191518</v>
      </c>
      <c r="C10" s="12">
        <v>2009</v>
      </c>
      <c r="G10">
        <f>SUM(G6:G9)</f>
        <v>657825</v>
      </c>
      <c r="H10">
        <f t="shared" ref="H10:K10" si="0">SUM(H6:H9)</f>
        <v>844915</v>
      </c>
      <c r="I10">
        <f t="shared" si="0"/>
        <v>832830</v>
      </c>
      <c r="J10">
        <f t="shared" si="0"/>
        <v>816910</v>
      </c>
      <c r="K10">
        <f t="shared" si="0"/>
        <v>821468</v>
      </c>
      <c r="M10">
        <f>SUM(M6:M9)</f>
        <v>3973948</v>
      </c>
    </row>
    <row r="11" spans="1:13" x14ac:dyDescent="0.25">
      <c r="A11" s="12" t="s">
        <v>28</v>
      </c>
      <c r="B11" s="12">
        <f>58408-20789</f>
        <v>37619</v>
      </c>
      <c r="C11" s="12">
        <v>2009</v>
      </c>
    </row>
    <row r="12" spans="1:13" x14ac:dyDescent="0.25">
      <c r="A12" s="12" t="s">
        <v>6</v>
      </c>
      <c r="B12" s="12">
        <v>199539</v>
      </c>
      <c r="C12" s="12">
        <v>2009</v>
      </c>
    </row>
    <row r="13" spans="1:13" x14ac:dyDescent="0.25">
      <c r="A13" s="12" t="s">
        <v>15</v>
      </c>
      <c r="B13" s="12">
        <v>15381</v>
      </c>
      <c r="C13" s="12">
        <v>2009</v>
      </c>
    </row>
    <row r="14" spans="1:13" x14ac:dyDescent="0.25">
      <c r="A14" s="12" t="s">
        <v>29</v>
      </c>
      <c r="B14" s="12">
        <v>185000</v>
      </c>
      <c r="C14" s="12">
        <v>2010</v>
      </c>
      <c r="G14">
        <v>2007</v>
      </c>
      <c r="H14">
        <v>2008</v>
      </c>
      <c r="I14">
        <v>2009</v>
      </c>
      <c r="J14">
        <v>2010</v>
      </c>
      <c r="K14">
        <v>2011</v>
      </c>
    </row>
    <row r="15" spans="1:13" x14ac:dyDescent="0.25">
      <c r="A15" s="12" t="s">
        <v>28</v>
      </c>
      <c r="B15" s="12">
        <f>59579-20415</f>
        <v>39164</v>
      </c>
      <c r="C15" s="12">
        <v>2010</v>
      </c>
      <c r="F15" t="s">
        <v>83</v>
      </c>
      <c r="G15" s="15">
        <f>G6/G10</f>
        <v>8.2263519933112914E-2</v>
      </c>
      <c r="H15" s="15">
        <f>H6/H10</f>
        <v>0.12110922400478155</v>
      </c>
      <c r="I15" s="15">
        <f>I6/I10</f>
        <v>0.13313161149334199</v>
      </c>
      <c r="J15" s="15">
        <f>J6/J10</f>
        <v>0.14475890857009951</v>
      </c>
      <c r="K15" s="15">
        <f>K6/K10</f>
        <v>0.15980293815462074</v>
      </c>
      <c r="L15" t="s">
        <v>83</v>
      </c>
      <c r="M15" s="15">
        <f>M6/M10</f>
        <v>0.13005857147602334</v>
      </c>
    </row>
    <row r="16" spans="1:13" x14ac:dyDescent="0.25">
      <c r="A16" s="12" t="s">
        <v>6</v>
      </c>
      <c r="B16" s="12">
        <v>189286</v>
      </c>
      <c r="C16" s="12">
        <v>2010</v>
      </c>
      <c r="F16" t="s">
        <v>87</v>
      </c>
      <c r="G16" s="15">
        <f>G7/G10</f>
        <v>0.31646258503401359</v>
      </c>
      <c r="H16" s="15">
        <f>H7/H10</f>
        <v>0.3527857831852908</v>
      </c>
      <c r="I16" s="15">
        <f>I7/I10</f>
        <v>0.3558805518533194</v>
      </c>
      <c r="J16" s="15">
        <f>J7/J10</f>
        <v>0.35478571690883942</v>
      </c>
      <c r="K16" s="15">
        <f>K7/K10</f>
        <v>0.35865061085763533</v>
      </c>
      <c r="L16" t="s">
        <v>87</v>
      </c>
      <c r="M16" s="15">
        <f>M7/M10</f>
        <v>0.34904508061001299</v>
      </c>
    </row>
    <row r="17" spans="1:13" x14ac:dyDescent="0.25">
      <c r="A17" s="12" t="s">
        <v>15</v>
      </c>
      <c r="B17" s="12">
        <v>15631</v>
      </c>
      <c r="C17" s="12">
        <v>2010</v>
      </c>
      <c r="F17" t="s">
        <v>84</v>
      </c>
      <c r="G17" s="15">
        <f>G8/G10</f>
        <v>0.56284118116520354</v>
      </c>
      <c r="H17" s="15">
        <f>H8/H10</f>
        <v>0.49603096169437161</v>
      </c>
      <c r="I17" s="15">
        <f>I8/I10</f>
        <v>0.47959607602992205</v>
      </c>
      <c r="J17" s="15">
        <f>J8/J10</f>
        <v>0.46725710298564099</v>
      </c>
      <c r="K17" s="15">
        <f>K8/K10</f>
        <v>0.44740148125063911</v>
      </c>
      <c r="L17" t="s">
        <v>84</v>
      </c>
      <c r="M17" s="15">
        <f>M8/M10</f>
        <v>0.4876787517098865</v>
      </c>
    </row>
    <row r="18" spans="1:13" x14ac:dyDescent="0.25">
      <c r="A18" s="12" t="s">
        <v>28</v>
      </c>
      <c r="B18" s="12">
        <v>38839</v>
      </c>
      <c r="C18" s="12">
        <v>2011</v>
      </c>
      <c r="F18" t="s">
        <v>86</v>
      </c>
      <c r="G18" s="15">
        <f>G9/G10</f>
        <v>3.8432713867669971E-2</v>
      </c>
      <c r="H18" s="15">
        <f>H9/H10</f>
        <v>3.0074031115556003E-2</v>
      </c>
      <c r="I18" s="15">
        <f>I9/I10</f>
        <v>3.1391760623416545E-2</v>
      </c>
      <c r="J18" s="15">
        <f>J9/J10</f>
        <v>3.3198271535420057E-2</v>
      </c>
      <c r="K18" s="15">
        <f>K9/K10</f>
        <v>3.4144969737104791E-2</v>
      </c>
      <c r="L18" t="s">
        <v>86</v>
      </c>
      <c r="M18" s="15">
        <f>M9/M10</f>
        <v>3.3217596204077153E-2</v>
      </c>
    </row>
    <row r="19" spans="1:13" x14ac:dyDescent="0.25">
      <c r="A19" s="12" t="s">
        <v>6</v>
      </c>
      <c r="B19" s="12">
        <v>179388</v>
      </c>
      <c r="C19" s="12">
        <v>2011</v>
      </c>
      <c r="M19" s="15">
        <f>SUM(M15:M18)</f>
        <v>1</v>
      </c>
    </row>
    <row r="20" spans="1:13" x14ac:dyDescent="0.25">
      <c r="A20" s="12" t="s">
        <v>15</v>
      </c>
      <c r="B20" s="12">
        <v>15605</v>
      </c>
      <c r="C20" s="12">
        <v>2011</v>
      </c>
    </row>
    <row r="21" spans="1:13" x14ac:dyDescent="0.25">
      <c r="A21" s="12" t="s">
        <v>29</v>
      </c>
      <c r="B21" s="12">
        <v>181335</v>
      </c>
      <c r="C21" s="12">
        <v>2011</v>
      </c>
    </row>
    <row r="22" spans="1:13" x14ac:dyDescent="0.25">
      <c r="A22" s="12"/>
      <c r="B22" s="12"/>
      <c r="C22" s="12"/>
      <c r="F22" t="s">
        <v>85</v>
      </c>
      <c r="G22" s="15">
        <f t="shared" ref="G22:K25" si="1">(G15*100)^2</f>
        <v>67.672867117856669</v>
      </c>
      <c r="H22" s="15">
        <f t="shared" si="1"/>
        <v>146.67444139040359</v>
      </c>
      <c r="I22" s="15">
        <f t="shared" si="1"/>
        <v>177.24025978814149</v>
      </c>
      <c r="J22" s="15">
        <f t="shared" si="1"/>
        <v>209.55141610406429</v>
      </c>
      <c r="K22" s="15">
        <f t="shared" si="1"/>
        <v>255.36979042849543</v>
      </c>
      <c r="M22" s="17">
        <f>(M15*100)^2</f>
        <v>169.15232014383872</v>
      </c>
    </row>
    <row r="23" spans="1:13" x14ac:dyDescent="0.25">
      <c r="A23" s="12"/>
      <c r="B23" s="12"/>
      <c r="C23" s="12"/>
      <c r="G23" s="15">
        <f t="shared" si="1"/>
        <v>1001.4856772641028</v>
      </c>
      <c r="H23" s="15">
        <f t="shared" si="1"/>
        <v>1244.57808817659</v>
      </c>
      <c r="I23" s="15">
        <f t="shared" si="1"/>
        <v>1266.5096718742316</v>
      </c>
      <c r="J23" s="15">
        <f t="shared" si="1"/>
        <v>1258.7290492251911</v>
      </c>
      <c r="K23" s="15">
        <f t="shared" si="1"/>
        <v>1286.3026066855498</v>
      </c>
      <c r="M23" s="17">
        <f>(M16*100)^2</f>
        <v>1218.3246829805048</v>
      </c>
    </row>
    <row r="24" spans="1:13" x14ac:dyDescent="0.25">
      <c r="A24" s="12"/>
      <c r="B24" s="12"/>
      <c r="C24" s="12"/>
      <c r="G24" s="15">
        <f t="shared" si="1"/>
        <v>3167.9019521544146</v>
      </c>
      <c r="H24" s="15">
        <f t="shared" si="1"/>
        <v>2460.4671495944312</v>
      </c>
      <c r="I24" s="15">
        <f t="shared" si="1"/>
        <v>2300.1239614329879</v>
      </c>
      <c r="J24" s="15">
        <f t="shared" si="1"/>
        <v>2183.2920029053394</v>
      </c>
      <c r="K24" s="15">
        <f t="shared" si="1"/>
        <v>2001.6808542526599</v>
      </c>
      <c r="M24" s="17">
        <f>(M17*100)^2</f>
        <v>2378.3056486931314</v>
      </c>
    </row>
    <row r="25" spans="1:13" x14ac:dyDescent="0.25">
      <c r="A25" s="12"/>
      <c r="B25" s="12"/>
      <c r="C25" s="12"/>
      <c r="G25" s="15">
        <f t="shared" si="1"/>
        <v>14.770734952341918</v>
      </c>
      <c r="H25" s="15">
        <f t="shared" si="1"/>
        <v>9.044473475394307</v>
      </c>
      <c r="I25" s="15">
        <f t="shared" si="1"/>
        <v>9.8544263503788549</v>
      </c>
      <c r="J25" s="15">
        <f t="shared" si="1"/>
        <v>11.021252329394818</v>
      </c>
      <c r="K25" s="15">
        <f t="shared" si="1"/>
        <v>11.65878958347802</v>
      </c>
      <c r="M25" s="17">
        <f>(M18*100)^2</f>
        <v>11.034086975771208</v>
      </c>
    </row>
    <row r="26" spans="1:13" x14ac:dyDescent="0.25">
      <c r="A26" s="12" t="s">
        <v>29</v>
      </c>
      <c r="B26" s="12">
        <v>82596</v>
      </c>
      <c r="C26" s="12">
        <v>2008</v>
      </c>
    </row>
    <row r="27" spans="1:13" x14ac:dyDescent="0.25">
      <c r="A27" s="12" t="s">
        <v>28</v>
      </c>
      <c r="B27" s="12">
        <f>77944-25965</f>
        <v>51979</v>
      </c>
      <c r="C27" s="12">
        <v>2008</v>
      </c>
    </row>
    <row r="28" spans="1:13" x14ac:dyDescent="0.25">
      <c r="A28" s="12" t="s">
        <v>6</v>
      </c>
      <c r="B28" s="12">
        <v>249</v>
      </c>
      <c r="C28" s="12">
        <v>2008</v>
      </c>
    </row>
    <row r="29" spans="1:13" x14ac:dyDescent="0.25">
      <c r="A29" s="12" t="s">
        <v>15</v>
      </c>
      <c r="B29" s="12">
        <v>240</v>
      </c>
      <c r="C29" s="12">
        <v>2008</v>
      </c>
    </row>
    <row r="30" spans="1:13" x14ac:dyDescent="0.25">
      <c r="A30" s="12" t="s">
        <v>29</v>
      </c>
      <c r="B30" s="12">
        <v>81363</v>
      </c>
      <c r="C30" s="12">
        <v>2009</v>
      </c>
    </row>
    <row r="31" spans="1:13" x14ac:dyDescent="0.25">
      <c r="A31" s="12" t="s">
        <v>28</v>
      </c>
      <c r="B31" s="12">
        <f>88612-34988</f>
        <v>53624</v>
      </c>
      <c r="C31" s="12">
        <v>2009</v>
      </c>
    </row>
    <row r="32" spans="1:13" x14ac:dyDescent="0.25">
      <c r="A32" s="12" t="s">
        <v>6</v>
      </c>
      <c r="B32" s="12">
        <v>716</v>
      </c>
      <c r="C32" s="12">
        <v>2009</v>
      </c>
    </row>
    <row r="33" spans="1:3" x14ac:dyDescent="0.25">
      <c r="A33" s="12" t="s">
        <v>15</v>
      </c>
      <c r="B33" s="12">
        <v>571</v>
      </c>
      <c r="C33" s="12">
        <v>2009</v>
      </c>
    </row>
    <row r="34" spans="1:3" x14ac:dyDescent="0.25">
      <c r="A34" s="12" t="s">
        <v>29</v>
      </c>
      <c r="B34" s="12">
        <v>80602</v>
      </c>
      <c r="C34" s="12">
        <v>2010</v>
      </c>
    </row>
    <row r="35" spans="1:3" x14ac:dyDescent="0.25">
      <c r="A35" s="12" t="s">
        <v>28</v>
      </c>
      <c r="B35" s="12">
        <f>92664-34988</f>
        <v>57676</v>
      </c>
      <c r="C35" s="12">
        <v>2010</v>
      </c>
    </row>
    <row r="36" spans="1:3" x14ac:dyDescent="0.25">
      <c r="A36" s="12" t="s">
        <v>6</v>
      </c>
      <c r="B36" s="12">
        <v>1054</v>
      </c>
      <c r="C36" s="12">
        <v>2010</v>
      </c>
    </row>
    <row r="37" spans="1:3" x14ac:dyDescent="0.25">
      <c r="A37" s="12" t="s">
        <v>15</v>
      </c>
      <c r="B37" s="12">
        <v>965</v>
      </c>
      <c r="C37" s="12">
        <v>2010</v>
      </c>
    </row>
    <row r="38" spans="1:3" x14ac:dyDescent="0.25">
      <c r="A38" s="12" t="s">
        <v>28</v>
      </c>
      <c r="B38" s="12">
        <v>66554</v>
      </c>
      <c r="C38" s="12">
        <v>2011</v>
      </c>
    </row>
    <row r="39" spans="1:3" x14ac:dyDescent="0.25">
      <c r="A39" s="12" t="s">
        <v>29</v>
      </c>
      <c r="B39" s="12">
        <v>88373</v>
      </c>
      <c r="C39" s="12">
        <v>2011</v>
      </c>
    </row>
    <row r="40" spans="1:3" x14ac:dyDescent="0.25">
      <c r="A40" s="12" t="s">
        <v>6</v>
      </c>
      <c r="B40" s="12">
        <v>1397</v>
      </c>
      <c r="C40" s="12">
        <v>2011</v>
      </c>
    </row>
    <row r="41" spans="1:3" x14ac:dyDescent="0.25">
      <c r="A41" s="12" t="s">
        <v>15</v>
      </c>
      <c r="B41" s="12">
        <v>1407</v>
      </c>
      <c r="C41" s="12">
        <v>2011</v>
      </c>
    </row>
    <row r="42" spans="1:3" x14ac:dyDescent="0.25">
      <c r="A42" s="12" t="s">
        <v>6</v>
      </c>
      <c r="B42" s="12">
        <v>90280</v>
      </c>
      <c r="C42" s="12">
        <v>2007</v>
      </c>
    </row>
    <row r="43" spans="1:3" x14ac:dyDescent="0.25">
      <c r="A43" s="12" t="s">
        <v>28</v>
      </c>
      <c r="B43" s="12">
        <f>9939-739</f>
        <v>9200</v>
      </c>
      <c r="C43" s="12">
        <v>2007</v>
      </c>
    </row>
    <row r="44" spans="1:3" x14ac:dyDescent="0.25">
      <c r="A44" s="12" t="s">
        <v>29</v>
      </c>
      <c r="B44" s="12">
        <v>7980</v>
      </c>
      <c r="C44" s="12">
        <v>2007</v>
      </c>
    </row>
    <row r="45" spans="1:3" x14ac:dyDescent="0.25">
      <c r="A45" s="12" t="s">
        <v>15</v>
      </c>
      <c r="B45" s="12">
        <v>2781</v>
      </c>
      <c r="C45" s="12">
        <v>2007</v>
      </c>
    </row>
    <row r="46" spans="1:3" x14ac:dyDescent="0.25">
      <c r="A46" s="12" t="s">
        <v>6</v>
      </c>
      <c r="B46" s="12">
        <v>92461</v>
      </c>
      <c r="C46" s="12">
        <v>2008</v>
      </c>
    </row>
    <row r="47" spans="1:3" x14ac:dyDescent="0.25">
      <c r="A47" s="12" t="s">
        <v>28</v>
      </c>
      <c r="B47" s="12">
        <f>10356-1159</f>
        <v>9197</v>
      </c>
      <c r="C47" s="12">
        <v>2008</v>
      </c>
    </row>
    <row r="48" spans="1:3" x14ac:dyDescent="0.25">
      <c r="A48" s="12" t="s">
        <v>29</v>
      </c>
      <c r="B48" s="12">
        <v>7282</v>
      </c>
      <c r="C48" s="12">
        <v>2008</v>
      </c>
    </row>
    <row r="49" spans="1:3" x14ac:dyDescent="0.25">
      <c r="A49" s="12" t="s">
        <v>15</v>
      </c>
      <c r="B49" s="12">
        <v>2425</v>
      </c>
      <c r="C49" s="12">
        <v>2008</v>
      </c>
    </row>
    <row r="50" spans="1:3" x14ac:dyDescent="0.25">
      <c r="A50" s="12" t="s">
        <v>6</v>
      </c>
      <c r="B50" s="12">
        <v>90376</v>
      </c>
      <c r="C50" s="12">
        <v>2009</v>
      </c>
    </row>
    <row r="51" spans="1:3" x14ac:dyDescent="0.25">
      <c r="A51" s="12" t="s">
        <v>28</v>
      </c>
      <c r="B51" s="12">
        <f>11428-1576</f>
        <v>9852</v>
      </c>
      <c r="C51" s="12">
        <v>2009</v>
      </c>
    </row>
    <row r="52" spans="1:3" x14ac:dyDescent="0.25">
      <c r="A52" s="12" t="s">
        <v>29</v>
      </c>
      <c r="B52" s="12">
        <v>7474</v>
      </c>
      <c r="C52" s="12">
        <v>2009</v>
      </c>
    </row>
    <row r="53" spans="1:3" x14ac:dyDescent="0.25">
      <c r="A53" s="12" t="s">
        <v>15</v>
      </c>
      <c r="B53" s="12">
        <v>2514</v>
      </c>
      <c r="C53" s="12">
        <v>2009</v>
      </c>
    </row>
    <row r="54" spans="1:3" x14ac:dyDescent="0.25">
      <c r="A54" s="12" t="s">
        <v>6</v>
      </c>
      <c r="B54" s="12">
        <v>88820</v>
      </c>
      <c r="C54" s="12">
        <v>2010</v>
      </c>
    </row>
    <row r="55" spans="1:3" x14ac:dyDescent="0.25">
      <c r="A55" s="12" t="s">
        <v>28</v>
      </c>
      <c r="B55" s="12">
        <f>12222-1595</f>
        <v>10627</v>
      </c>
      <c r="C55" s="12">
        <v>2010</v>
      </c>
    </row>
    <row r="56" spans="1:3" x14ac:dyDescent="0.25">
      <c r="A56" s="12" t="s">
        <v>29</v>
      </c>
      <c r="B56" s="12">
        <v>8017</v>
      </c>
      <c r="C56" s="12">
        <v>2010</v>
      </c>
    </row>
    <row r="57" spans="1:3" x14ac:dyDescent="0.25">
      <c r="A57" s="12" t="s">
        <v>15</v>
      </c>
      <c r="B57" s="12">
        <v>2648</v>
      </c>
      <c r="C57" s="12">
        <v>2010</v>
      </c>
    </row>
    <row r="58" spans="1:3" x14ac:dyDescent="0.25">
      <c r="A58" s="12" t="s">
        <v>28</v>
      </c>
      <c r="B58" s="12">
        <v>12205</v>
      </c>
      <c r="C58" s="12">
        <v>2011</v>
      </c>
    </row>
    <row r="59" spans="1:3" x14ac:dyDescent="0.25">
      <c r="A59" s="12" t="s">
        <v>29</v>
      </c>
      <c r="B59" s="12">
        <v>8864</v>
      </c>
      <c r="C59" s="12">
        <v>2011</v>
      </c>
    </row>
    <row r="60" spans="1:3" x14ac:dyDescent="0.25">
      <c r="A60" s="12" t="s">
        <v>6</v>
      </c>
      <c r="B60" s="12">
        <v>87690</v>
      </c>
      <c r="C60" s="12">
        <v>2011</v>
      </c>
    </row>
    <row r="61" spans="1:3" x14ac:dyDescent="0.25">
      <c r="A61" s="12" t="s">
        <v>15</v>
      </c>
      <c r="B61" s="12">
        <v>2849</v>
      </c>
      <c r="C61" s="12">
        <v>2011</v>
      </c>
    </row>
    <row r="62" spans="1:3" x14ac:dyDescent="0.25">
      <c r="A62" s="12" t="s">
        <v>6</v>
      </c>
      <c r="B62" s="12">
        <v>25531</v>
      </c>
      <c r="C62" s="12">
        <v>2007</v>
      </c>
    </row>
    <row r="63" spans="1:3" x14ac:dyDescent="0.25">
      <c r="A63" s="12" t="s">
        <v>28</v>
      </c>
      <c r="B63" s="12">
        <f>824-364</f>
        <v>460</v>
      </c>
      <c r="C63" s="12">
        <v>2007</v>
      </c>
    </row>
    <row r="64" spans="1:3" x14ac:dyDescent="0.25">
      <c r="A64" s="12" t="s">
        <v>29</v>
      </c>
      <c r="B64" s="12">
        <v>1260</v>
      </c>
      <c r="C64" s="12">
        <v>2007</v>
      </c>
    </row>
    <row r="65" spans="1:3" x14ac:dyDescent="0.25">
      <c r="A65" s="12" t="s">
        <v>15</v>
      </c>
      <c r="B65" s="12">
        <v>2019</v>
      </c>
      <c r="C65" s="12">
        <v>2007</v>
      </c>
    </row>
    <row r="66" spans="1:3" x14ac:dyDescent="0.25">
      <c r="A66" s="12" t="s">
        <v>6</v>
      </c>
      <c r="B66" s="12">
        <v>24840</v>
      </c>
      <c r="C66" s="12">
        <v>2008</v>
      </c>
    </row>
    <row r="67" spans="1:3" x14ac:dyDescent="0.25">
      <c r="A67" s="12" t="s">
        <v>28</v>
      </c>
      <c r="B67" s="12">
        <f>1790-365</f>
        <v>1425</v>
      </c>
      <c r="C67" s="12">
        <v>2008</v>
      </c>
    </row>
    <row r="68" spans="1:3" x14ac:dyDescent="0.25">
      <c r="A68" s="12" t="s">
        <v>29</v>
      </c>
      <c r="B68" s="12">
        <v>1473</v>
      </c>
      <c r="C68" s="12">
        <v>2008</v>
      </c>
    </row>
    <row r="69" spans="1:3" x14ac:dyDescent="0.25">
      <c r="A69" s="12" t="s">
        <v>15</v>
      </c>
      <c r="B69" s="12">
        <v>2090</v>
      </c>
      <c r="C69" s="12">
        <v>2008</v>
      </c>
    </row>
    <row r="70" spans="1:3" x14ac:dyDescent="0.25">
      <c r="A70" s="12" t="s">
        <v>6</v>
      </c>
      <c r="B70" s="12">
        <v>24378</v>
      </c>
      <c r="C70" s="12">
        <v>2009</v>
      </c>
    </row>
    <row r="71" spans="1:3" x14ac:dyDescent="0.25">
      <c r="A71" s="12" t="s">
        <v>28</v>
      </c>
      <c r="B71" s="12">
        <f>2167-370</f>
        <v>1797</v>
      </c>
      <c r="C71" s="12">
        <v>2009</v>
      </c>
    </row>
    <row r="72" spans="1:3" x14ac:dyDescent="0.25">
      <c r="A72" s="12" t="s">
        <v>29</v>
      </c>
      <c r="B72" s="12">
        <v>1658</v>
      </c>
      <c r="C72" s="12">
        <v>2009</v>
      </c>
    </row>
    <row r="73" spans="1:3" x14ac:dyDescent="0.25">
      <c r="A73" s="12" t="s">
        <v>15</v>
      </c>
      <c r="B73" s="12">
        <v>2132</v>
      </c>
      <c r="C73" s="12">
        <v>2009</v>
      </c>
    </row>
    <row r="74" spans="1:3" x14ac:dyDescent="0.25">
      <c r="A74" s="12" t="s">
        <v>6</v>
      </c>
      <c r="B74" s="12">
        <v>24054</v>
      </c>
      <c r="C74" s="12">
        <v>2010</v>
      </c>
    </row>
    <row r="75" spans="1:3" x14ac:dyDescent="0.25">
      <c r="A75" s="12" t="s">
        <v>28</v>
      </c>
      <c r="B75" s="12">
        <f>2286-370</f>
        <v>1916</v>
      </c>
      <c r="C75" s="12">
        <v>2010</v>
      </c>
    </row>
    <row r="76" spans="1:3" x14ac:dyDescent="0.25">
      <c r="A76" s="12" t="s">
        <v>29</v>
      </c>
      <c r="B76" s="12">
        <v>1708</v>
      </c>
      <c r="C76" s="12">
        <v>2010</v>
      </c>
    </row>
    <row r="77" spans="1:3" x14ac:dyDescent="0.25">
      <c r="A77" s="12" t="s">
        <v>15</v>
      </c>
      <c r="B77" s="12">
        <v>2144</v>
      </c>
      <c r="C77" s="12">
        <v>2010</v>
      </c>
    </row>
    <row r="78" spans="1:3" x14ac:dyDescent="0.25">
      <c r="A78" s="12" t="s">
        <v>28</v>
      </c>
      <c r="B78" s="12">
        <v>3470</v>
      </c>
      <c r="C78" s="12">
        <v>2011</v>
      </c>
    </row>
    <row r="79" spans="1:3" x14ac:dyDescent="0.25">
      <c r="A79" s="12" t="s">
        <v>29</v>
      </c>
      <c r="B79" s="12">
        <v>1710</v>
      </c>
      <c r="C79" s="12">
        <v>2011</v>
      </c>
    </row>
    <row r="80" spans="1:3" x14ac:dyDescent="0.25">
      <c r="A80" s="12" t="s">
        <v>6</v>
      </c>
      <c r="B80" s="12">
        <v>23952</v>
      </c>
      <c r="C80" s="12">
        <v>2011</v>
      </c>
    </row>
    <row r="81" spans="1:3" x14ac:dyDescent="0.25">
      <c r="A81" s="12" t="s">
        <v>15</v>
      </c>
      <c r="B81" s="12">
        <v>2177</v>
      </c>
      <c r="C81" s="12">
        <v>2011</v>
      </c>
    </row>
    <row r="82" spans="1:3" x14ac:dyDescent="0.25">
      <c r="A82" s="12"/>
      <c r="B82" s="12"/>
      <c r="C82" s="12"/>
    </row>
    <row r="83" spans="1:3" x14ac:dyDescent="0.25">
      <c r="A83" s="12"/>
      <c r="B83" s="12"/>
      <c r="C83" s="12"/>
    </row>
    <row r="84" spans="1:3" x14ac:dyDescent="0.25">
      <c r="A84" s="12"/>
      <c r="B84" s="12"/>
      <c r="C84" s="12"/>
    </row>
    <row r="85" spans="1:3" x14ac:dyDescent="0.25">
      <c r="A85" s="12"/>
      <c r="B85" s="12"/>
      <c r="C85" s="12"/>
    </row>
    <row r="86" spans="1:3" x14ac:dyDescent="0.25">
      <c r="A86" s="12" t="s">
        <v>6</v>
      </c>
      <c r="B86" s="12">
        <v>63379</v>
      </c>
      <c r="C86" s="12">
        <v>2008</v>
      </c>
    </row>
    <row r="87" spans="1:3" x14ac:dyDescent="0.25">
      <c r="A87" s="12" t="s">
        <v>28</v>
      </c>
      <c r="B87" s="12">
        <f>5723-1588</f>
        <v>4135</v>
      </c>
      <c r="C87" s="12">
        <v>2008</v>
      </c>
    </row>
    <row r="88" spans="1:3" x14ac:dyDescent="0.25">
      <c r="A88" s="12" t="s">
        <v>29</v>
      </c>
      <c r="B88" s="12">
        <v>1658</v>
      </c>
      <c r="C88" s="12">
        <v>2008</v>
      </c>
    </row>
    <row r="89" spans="1:3" x14ac:dyDescent="0.25">
      <c r="A89" s="12" t="s">
        <v>15</v>
      </c>
      <c r="B89" s="12">
        <v>383</v>
      </c>
      <c r="C89" s="12">
        <v>2008</v>
      </c>
    </row>
    <row r="90" spans="1:3" x14ac:dyDescent="0.25">
      <c r="A90" s="12" t="s">
        <v>6</v>
      </c>
      <c r="B90" s="12">
        <v>59010</v>
      </c>
      <c r="C90" s="12">
        <v>2009</v>
      </c>
    </row>
    <row r="91" spans="1:3" x14ac:dyDescent="0.25">
      <c r="A91" s="12" t="s">
        <v>28</v>
      </c>
      <c r="B91" s="12">
        <f>7386-1550</f>
        <v>5836</v>
      </c>
      <c r="C91" s="12">
        <v>2009</v>
      </c>
    </row>
    <row r="92" spans="1:3" x14ac:dyDescent="0.25">
      <c r="A92" s="12" t="s">
        <v>29</v>
      </c>
      <c r="B92" s="12">
        <v>1793</v>
      </c>
      <c r="C92" s="12">
        <v>2009</v>
      </c>
    </row>
    <row r="93" spans="1:3" x14ac:dyDescent="0.25">
      <c r="A93" s="12" t="s">
        <v>15</v>
      </c>
      <c r="B93" s="12">
        <v>475</v>
      </c>
      <c r="C93" s="12">
        <v>2009</v>
      </c>
    </row>
    <row r="94" spans="1:3" x14ac:dyDescent="0.25">
      <c r="A94" s="12" t="s">
        <v>6</v>
      </c>
      <c r="B94" s="12">
        <v>53193</v>
      </c>
      <c r="C94" s="12">
        <v>2010</v>
      </c>
    </row>
    <row r="95" spans="1:3" x14ac:dyDescent="0.25">
      <c r="A95" s="12" t="s">
        <v>28</v>
      </c>
      <c r="B95" s="12">
        <f>7527-1448</f>
        <v>6079</v>
      </c>
      <c r="C95" s="12">
        <v>2010</v>
      </c>
    </row>
    <row r="96" spans="1:3" x14ac:dyDescent="0.25">
      <c r="A96" s="12" t="s">
        <v>29</v>
      </c>
      <c r="B96" s="12">
        <v>1984</v>
      </c>
      <c r="C96" s="12">
        <v>2010</v>
      </c>
    </row>
    <row r="97" spans="1:3" x14ac:dyDescent="0.25">
      <c r="A97" s="12" t="s">
        <v>15</v>
      </c>
      <c r="B97" s="12">
        <v>579</v>
      </c>
      <c r="C97" s="12">
        <v>2010</v>
      </c>
    </row>
    <row r="98" spans="1:3" x14ac:dyDescent="0.25">
      <c r="A98" s="12" t="s">
        <v>6</v>
      </c>
      <c r="B98" s="12">
        <v>50247</v>
      </c>
      <c r="C98" s="12">
        <v>2011</v>
      </c>
    </row>
    <row r="99" spans="1:3" x14ac:dyDescent="0.25">
      <c r="A99" s="12" t="s">
        <v>28</v>
      </c>
      <c r="B99" s="12">
        <v>6039</v>
      </c>
      <c r="C99" s="12">
        <v>2011</v>
      </c>
    </row>
    <row r="100" spans="1:3" x14ac:dyDescent="0.25">
      <c r="A100" s="12" t="s">
        <v>29</v>
      </c>
      <c r="B100" s="11">
        <v>2112</v>
      </c>
      <c r="C100" s="12">
        <v>2011</v>
      </c>
    </row>
    <row r="101" spans="1:3" x14ac:dyDescent="0.25">
      <c r="A101" s="12" t="s">
        <v>15</v>
      </c>
      <c r="B101" s="11">
        <v>651</v>
      </c>
      <c r="C101" s="12">
        <v>2011</v>
      </c>
    </row>
    <row r="102" spans="1:3" x14ac:dyDescent="0.25">
      <c r="A102" s="12" t="s">
        <v>28</v>
      </c>
      <c r="B102" s="11">
        <v>617</v>
      </c>
      <c r="C102" s="12">
        <v>2007</v>
      </c>
    </row>
    <row r="103" spans="1:3" x14ac:dyDescent="0.25">
      <c r="A103" s="12" t="s">
        <v>29</v>
      </c>
      <c r="B103" s="11">
        <v>12189</v>
      </c>
      <c r="C103" s="12">
        <v>2007</v>
      </c>
    </row>
    <row r="104" spans="1:3" x14ac:dyDescent="0.25">
      <c r="A104" s="12" t="s">
        <v>6</v>
      </c>
      <c r="B104" s="11">
        <v>25792</v>
      </c>
      <c r="C104" s="12">
        <v>2007</v>
      </c>
    </row>
    <row r="105" spans="1:3" x14ac:dyDescent="0.25">
      <c r="A105" s="12" t="s">
        <v>15</v>
      </c>
      <c r="B105" s="11">
        <v>5594</v>
      </c>
      <c r="C105" s="12">
        <v>2007</v>
      </c>
    </row>
    <row r="106" spans="1:3" x14ac:dyDescent="0.25">
      <c r="A106" s="12" t="s">
        <v>28</v>
      </c>
      <c r="B106" s="11">
        <v>1637</v>
      </c>
      <c r="C106" s="12">
        <v>2008</v>
      </c>
    </row>
    <row r="107" spans="1:3" x14ac:dyDescent="0.25">
      <c r="A107" s="12" t="s">
        <v>29</v>
      </c>
      <c r="B107" s="11">
        <v>12238</v>
      </c>
      <c r="C107" s="12">
        <v>2008</v>
      </c>
    </row>
    <row r="108" spans="1:3" x14ac:dyDescent="0.25">
      <c r="A108" s="12" t="s">
        <v>6</v>
      </c>
      <c r="B108" s="11">
        <v>26239</v>
      </c>
      <c r="C108" s="12">
        <v>2008</v>
      </c>
    </row>
    <row r="109" spans="1:3" x14ac:dyDescent="0.25">
      <c r="A109" s="12" t="s">
        <v>15</v>
      </c>
      <c r="B109" s="11">
        <v>5182</v>
      </c>
      <c r="C109" s="12">
        <v>2008</v>
      </c>
    </row>
    <row r="110" spans="1:3" x14ac:dyDescent="0.25">
      <c r="A110" s="12" t="s">
        <v>28</v>
      </c>
      <c r="B110" s="11">
        <v>2148</v>
      </c>
      <c r="C110" s="12">
        <v>2009</v>
      </c>
    </row>
    <row r="111" spans="1:3" x14ac:dyDescent="0.25">
      <c r="A111" s="12" t="s">
        <v>29</v>
      </c>
      <c r="B111" s="11">
        <v>12582</v>
      </c>
      <c r="C111" s="12">
        <v>2009</v>
      </c>
    </row>
    <row r="112" spans="1:3" x14ac:dyDescent="0.25">
      <c r="A112" s="12" t="s">
        <v>6</v>
      </c>
      <c r="B112" s="11">
        <v>25403</v>
      </c>
      <c r="C112" s="12">
        <v>2009</v>
      </c>
    </row>
    <row r="113" spans="1:3" x14ac:dyDescent="0.25">
      <c r="A113" s="12" t="s">
        <v>15</v>
      </c>
      <c r="B113" s="11">
        <v>5071</v>
      </c>
      <c r="C113" s="12">
        <v>2009</v>
      </c>
    </row>
    <row r="114" spans="1:3" x14ac:dyDescent="0.25">
      <c r="A114" s="12" t="s">
        <v>28</v>
      </c>
      <c r="B114" s="11">
        <v>2793</v>
      </c>
      <c r="C114" s="12">
        <v>2010</v>
      </c>
    </row>
    <row r="115" spans="1:3" x14ac:dyDescent="0.25">
      <c r="A115" s="12" t="s">
        <v>29</v>
      </c>
      <c r="B115" s="11">
        <v>12517</v>
      </c>
      <c r="C115" s="12">
        <v>2010</v>
      </c>
    </row>
    <row r="116" spans="1:3" x14ac:dyDescent="0.25">
      <c r="A116" s="12" t="s">
        <v>6</v>
      </c>
      <c r="B116" s="11">
        <v>25300</v>
      </c>
      <c r="C116" s="12">
        <v>2010</v>
      </c>
    </row>
    <row r="117" spans="1:3" x14ac:dyDescent="0.25">
      <c r="A117" s="12" t="s">
        <v>15</v>
      </c>
      <c r="B117" s="11">
        <v>5153</v>
      </c>
      <c r="C117" s="12">
        <v>2010</v>
      </c>
    </row>
    <row r="118" spans="1:3" x14ac:dyDescent="0.25">
      <c r="A118" s="12" t="s">
        <v>28</v>
      </c>
      <c r="B118" s="11">
        <v>4166</v>
      </c>
      <c r="C118" s="12">
        <v>2011</v>
      </c>
    </row>
    <row r="119" spans="1:3" x14ac:dyDescent="0.25">
      <c r="A119" s="12" t="s">
        <v>29</v>
      </c>
      <c r="B119" s="11">
        <v>12226</v>
      </c>
      <c r="C119" s="12">
        <v>2011</v>
      </c>
    </row>
    <row r="120" spans="1:3" x14ac:dyDescent="0.25">
      <c r="A120" s="12" t="s">
        <v>6</v>
      </c>
      <c r="B120" s="11">
        <v>24852</v>
      </c>
      <c r="C120" s="12">
        <v>2011</v>
      </c>
    </row>
    <row r="121" spans="1:3" x14ac:dyDescent="0.25">
      <c r="A121" s="12" t="s">
        <v>15</v>
      </c>
      <c r="B121" s="11">
        <v>5360</v>
      </c>
      <c r="C121" s="12">
        <v>2011</v>
      </c>
    </row>
  </sheetData>
  <pageMargins left="0.7" right="0.7" top="0.75" bottom="0.75" header="0.3" footer="0.3"/>
  <drawing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51"/>
  <sheetViews>
    <sheetView tabSelected="1" topLeftCell="B1" workbookViewId="0">
      <selection activeCell="L17" sqref="L17:M21"/>
    </sheetView>
  </sheetViews>
  <sheetFormatPr defaultRowHeight="15" x14ac:dyDescent="0.25"/>
  <cols>
    <col min="1" max="1" width="21.5703125" style="11" customWidth="1"/>
    <col min="2" max="2" width="13.7109375" style="11" customWidth="1"/>
    <col min="3" max="3" width="9.140625" style="11"/>
    <col min="6" max="6" width="18.85546875" customWidth="1"/>
    <col min="12" max="12" width="14" customWidth="1"/>
    <col min="13" max="13" width="18" customWidth="1"/>
    <col min="249" max="249" width="12.7109375" customWidth="1"/>
    <col min="250" max="250" width="13.7109375" customWidth="1"/>
    <col min="252" max="252" width="21.5703125" customWidth="1"/>
    <col min="505" max="505" width="12.7109375" customWidth="1"/>
    <col min="506" max="506" width="13.7109375" customWidth="1"/>
    <col min="508" max="508" width="21.5703125" customWidth="1"/>
    <col min="761" max="761" width="12.7109375" customWidth="1"/>
    <col min="762" max="762" width="13.7109375" customWidth="1"/>
    <col min="764" max="764" width="21.5703125" customWidth="1"/>
    <col min="1017" max="1017" width="12.7109375" customWidth="1"/>
    <col min="1018" max="1018" width="13.7109375" customWidth="1"/>
    <col min="1020" max="1020" width="21.5703125" customWidth="1"/>
    <col min="1273" max="1273" width="12.7109375" customWidth="1"/>
    <col min="1274" max="1274" width="13.7109375" customWidth="1"/>
    <col min="1276" max="1276" width="21.5703125" customWidth="1"/>
    <col min="1529" max="1529" width="12.7109375" customWidth="1"/>
    <col min="1530" max="1530" width="13.7109375" customWidth="1"/>
    <col min="1532" max="1532" width="21.5703125" customWidth="1"/>
    <col min="1785" max="1785" width="12.7109375" customWidth="1"/>
    <col min="1786" max="1786" width="13.7109375" customWidth="1"/>
    <col min="1788" max="1788" width="21.5703125" customWidth="1"/>
    <col min="2041" max="2041" width="12.7109375" customWidth="1"/>
    <col min="2042" max="2042" width="13.7109375" customWidth="1"/>
    <col min="2044" max="2044" width="21.5703125" customWidth="1"/>
    <col min="2297" max="2297" width="12.7109375" customWidth="1"/>
    <col min="2298" max="2298" width="13.7109375" customWidth="1"/>
    <col min="2300" max="2300" width="21.5703125" customWidth="1"/>
    <col min="2553" max="2553" width="12.7109375" customWidth="1"/>
    <col min="2554" max="2554" width="13.7109375" customWidth="1"/>
    <col min="2556" max="2556" width="21.5703125" customWidth="1"/>
    <col min="2809" max="2809" width="12.7109375" customWidth="1"/>
    <col min="2810" max="2810" width="13.7109375" customWidth="1"/>
    <col min="2812" max="2812" width="21.5703125" customWidth="1"/>
    <col min="3065" max="3065" width="12.7109375" customWidth="1"/>
    <col min="3066" max="3066" width="13.7109375" customWidth="1"/>
    <col min="3068" max="3068" width="21.5703125" customWidth="1"/>
    <col min="3321" max="3321" width="12.7109375" customWidth="1"/>
    <col min="3322" max="3322" width="13.7109375" customWidth="1"/>
    <col min="3324" max="3324" width="21.5703125" customWidth="1"/>
    <col min="3577" max="3577" width="12.7109375" customWidth="1"/>
    <col min="3578" max="3578" width="13.7109375" customWidth="1"/>
    <col min="3580" max="3580" width="21.5703125" customWidth="1"/>
    <col min="3833" max="3833" width="12.7109375" customWidth="1"/>
    <col min="3834" max="3834" width="13.7109375" customWidth="1"/>
    <col min="3836" max="3836" width="21.5703125" customWidth="1"/>
    <col min="4089" max="4089" width="12.7109375" customWidth="1"/>
    <col min="4090" max="4090" width="13.7109375" customWidth="1"/>
    <col min="4092" max="4092" width="21.5703125" customWidth="1"/>
    <col min="4345" max="4345" width="12.7109375" customWidth="1"/>
    <col min="4346" max="4346" width="13.7109375" customWidth="1"/>
    <col min="4348" max="4348" width="21.5703125" customWidth="1"/>
    <col min="4601" max="4601" width="12.7109375" customWidth="1"/>
    <col min="4602" max="4602" width="13.7109375" customWidth="1"/>
    <col min="4604" max="4604" width="21.5703125" customWidth="1"/>
    <col min="4857" max="4857" width="12.7109375" customWidth="1"/>
    <col min="4858" max="4858" width="13.7109375" customWidth="1"/>
    <col min="4860" max="4860" width="21.5703125" customWidth="1"/>
    <col min="5113" max="5113" width="12.7109375" customWidth="1"/>
    <col min="5114" max="5114" width="13.7109375" customWidth="1"/>
    <col min="5116" max="5116" width="21.5703125" customWidth="1"/>
    <col min="5369" max="5369" width="12.7109375" customWidth="1"/>
    <col min="5370" max="5370" width="13.7109375" customWidth="1"/>
    <col min="5372" max="5372" width="21.5703125" customWidth="1"/>
    <col min="5625" max="5625" width="12.7109375" customWidth="1"/>
    <col min="5626" max="5626" width="13.7109375" customWidth="1"/>
    <col min="5628" max="5628" width="21.5703125" customWidth="1"/>
    <col min="5881" max="5881" width="12.7109375" customWidth="1"/>
    <col min="5882" max="5882" width="13.7109375" customWidth="1"/>
    <col min="5884" max="5884" width="21.5703125" customWidth="1"/>
    <col min="6137" max="6137" width="12.7109375" customWidth="1"/>
    <col min="6138" max="6138" width="13.7109375" customWidth="1"/>
    <col min="6140" max="6140" width="21.5703125" customWidth="1"/>
    <col min="6393" max="6393" width="12.7109375" customWidth="1"/>
    <col min="6394" max="6394" width="13.7109375" customWidth="1"/>
    <col min="6396" max="6396" width="21.5703125" customWidth="1"/>
    <col min="6649" max="6649" width="12.7109375" customWidth="1"/>
    <col min="6650" max="6650" width="13.7109375" customWidth="1"/>
    <col min="6652" max="6652" width="21.5703125" customWidth="1"/>
    <col min="6905" max="6905" width="12.7109375" customWidth="1"/>
    <col min="6906" max="6906" width="13.7109375" customWidth="1"/>
    <col min="6908" max="6908" width="21.5703125" customWidth="1"/>
    <col min="7161" max="7161" width="12.7109375" customWidth="1"/>
    <col min="7162" max="7162" width="13.7109375" customWidth="1"/>
    <col min="7164" max="7164" width="21.5703125" customWidth="1"/>
    <col min="7417" max="7417" width="12.7109375" customWidth="1"/>
    <col min="7418" max="7418" width="13.7109375" customWidth="1"/>
    <col min="7420" max="7420" width="21.5703125" customWidth="1"/>
    <col min="7673" max="7673" width="12.7109375" customWidth="1"/>
    <col min="7674" max="7674" width="13.7109375" customWidth="1"/>
    <col min="7676" max="7676" width="21.5703125" customWidth="1"/>
    <col min="7929" max="7929" width="12.7109375" customWidth="1"/>
    <col min="7930" max="7930" width="13.7109375" customWidth="1"/>
    <col min="7932" max="7932" width="21.5703125" customWidth="1"/>
    <col min="8185" max="8185" width="12.7109375" customWidth="1"/>
    <col min="8186" max="8186" width="13.7109375" customWidth="1"/>
    <col min="8188" max="8188" width="21.5703125" customWidth="1"/>
    <col min="8441" max="8441" width="12.7109375" customWidth="1"/>
    <col min="8442" max="8442" width="13.7109375" customWidth="1"/>
    <col min="8444" max="8444" width="21.5703125" customWidth="1"/>
    <col min="8697" max="8697" width="12.7109375" customWidth="1"/>
    <col min="8698" max="8698" width="13.7109375" customWidth="1"/>
    <col min="8700" max="8700" width="21.5703125" customWidth="1"/>
    <col min="8953" max="8953" width="12.7109375" customWidth="1"/>
    <col min="8954" max="8954" width="13.7109375" customWidth="1"/>
    <col min="8956" max="8956" width="21.5703125" customWidth="1"/>
    <col min="9209" max="9209" width="12.7109375" customWidth="1"/>
    <col min="9210" max="9210" width="13.7109375" customWidth="1"/>
    <col min="9212" max="9212" width="21.5703125" customWidth="1"/>
    <col min="9465" max="9465" width="12.7109375" customWidth="1"/>
    <col min="9466" max="9466" width="13.7109375" customWidth="1"/>
    <col min="9468" max="9468" width="21.5703125" customWidth="1"/>
    <col min="9721" max="9721" width="12.7109375" customWidth="1"/>
    <col min="9722" max="9722" width="13.7109375" customWidth="1"/>
    <col min="9724" max="9724" width="21.5703125" customWidth="1"/>
    <col min="9977" max="9977" width="12.7109375" customWidth="1"/>
    <col min="9978" max="9978" width="13.7109375" customWidth="1"/>
    <col min="9980" max="9980" width="21.5703125" customWidth="1"/>
    <col min="10233" max="10233" width="12.7109375" customWidth="1"/>
    <col min="10234" max="10234" width="13.7109375" customWidth="1"/>
    <col min="10236" max="10236" width="21.5703125" customWidth="1"/>
    <col min="10489" max="10489" width="12.7109375" customWidth="1"/>
    <col min="10490" max="10490" width="13.7109375" customWidth="1"/>
    <col min="10492" max="10492" width="21.5703125" customWidth="1"/>
    <col min="10745" max="10745" width="12.7109375" customWidth="1"/>
    <col min="10746" max="10746" width="13.7109375" customWidth="1"/>
    <col min="10748" max="10748" width="21.5703125" customWidth="1"/>
    <col min="11001" max="11001" width="12.7109375" customWidth="1"/>
    <col min="11002" max="11002" width="13.7109375" customWidth="1"/>
    <col min="11004" max="11004" width="21.5703125" customWidth="1"/>
    <col min="11257" max="11257" width="12.7109375" customWidth="1"/>
    <col min="11258" max="11258" width="13.7109375" customWidth="1"/>
    <col min="11260" max="11260" width="21.5703125" customWidth="1"/>
    <col min="11513" max="11513" width="12.7109375" customWidth="1"/>
    <col min="11514" max="11514" width="13.7109375" customWidth="1"/>
    <col min="11516" max="11516" width="21.5703125" customWidth="1"/>
    <col min="11769" max="11769" width="12.7109375" customWidth="1"/>
    <col min="11770" max="11770" width="13.7109375" customWidth="1"/>
    <col min="11772" max="11772" width="21.5703125" customWidth="1"/>
    <col min="12025" max="12025" width="12.7109375" customWidth="1"/>
    <col min="12026" max="12026" width="13.7109375" customWidth="1"/>
    <col min="12028" max="12028" width="21.5703125" customWidth="1"/>
    <col min="12281" max="12281" width="12.7109375" customWidth="1"/>
    <col min="12282" max="12282" width="13.7109375" customWidth="1"/>
    <col min="12284" max="12284" width="21.5703125" customWidth="1"/>
    <col min="12537" max="12537" width="12.7109375" customWidth="1"/>
    <col min="12538" max="12538" width="13.7109375" customWidth="1"/>
    <col min="12540" max="12540" width="21.5703125" customWidth="1"/>
    <col min="12793" max="12793" width="12.7109375" customWidth="1"/>
    <col min="12794" max="12794" width="13.7109375" customWidth="1"/>
    <col min="12796" max="12796" width="21.5703125" customWidth="1"/>
    <col min="13049" max="13049" width="12.7109375" customWidth="1"/>
    <col min="13050" max="13050" width="13.7109375" customWidth="1"/>
    <col min="13052" max="13052" width="21.5703125" customWidth="1"/>
    <col min="13305" max="13305" width="12.7109375" customWidth="1"/>
    <col min="13306" max="13306" width="13.7109375" customWidth="1"/>
    <col min="13308" max="13308" width="21.5703125" customWidth="1"/>
    <col min="13561" max="13561" width="12.7109375" customWidth="1"/>
    <col min="13562" max="13562" width="13.7109375" customWidth="1"/>
    <col min="13564" max="13564" width="21.5703125" customWidth="1"/>
    <col min="13817" max="13817" width="12.7109375" customWidth="1"/>
    <col min="13818" max="13818" width="13.7109375" customWidth="1"/>
    <col min="13820" max="13820" width="21.5703125" customWidth="1"/>
    <col min="14073" max="14073" width="12.7109375" customWidth="1"/>
    <col min="14074" max="14074" width="13.7109375" customWidth="1"/>
    <col min="14076" max="14076" width="21.5703125" customWidth="1"/>
    <col min="14329" max="14329" width="12.7109375" customWidth="1"/>
    <col min="14330" max="14330" width="13.7109375" customWidth="1"/>
    <col min="14332" max="14332" width="21.5703125" customWidth="1"/>
    <col min="14585" max="14585" width="12.7109375" customWidth="1"/>
    <col min="14586" max="14586" width="13.7109375" customWidth="1"/>
    <col min="14588" max="14588" width="21.5703125" customWidth="1"/>
    <col min="14841" max="14841" width="12.7109375" customWidth="1"/>
    <col min="14842" max="14842" width="13.7109375" customWidth="1"/>
    <col min="14844" max="14844" width="21.5703125" customWidth="1"/>
    <col min="15097" max="15097" width="12.7109375" customWidth="1"/>
    <col min="15098" max="15098" width="13.7109375" customWidth="1"/>
    <col min="15100" max="15100" width="21.5703125" customWidth="1"/>
    <col min="15353" max="15353" width="12.7109375" customWidth="1"/>
    <col min="15354" max="15354" width="13.7109375" customWidth="1"/>
    <col min="15356" max="15356" width="21.5703125" customWidth="1"/>
    <col min="15609" max="15609" width="12.7109375" customWidth="1"/>
    <col min="15610" max="15610" width="13.7109375" customWidth="1"/>
    <col min="15612" max="15612" width="21.5703125" customWidth="1"/>
    <col min="15865" max="15865" width="12.7109375" customWidth="1"/>
    <col min="15866" max="15866" width="13.7109375" customWidth="1"/>
    <col min="15868" max="15868" width="21.5703125" customWidth="1"/>
    <col min="16121" max="16121" width="12.7109375" customWidth="1"/>
    <col min="16122" max="16122" width="13.7109375" customWidth="1"/>
    <col min="16124" max="16124" width="21.5703125" customWidth="1"/>
  </cols>
  <sheetData>
    <row r="1" spans="1:13" s="6" customFormat="1" x14ac:dyDescent="0.25">
      <c r="A1" s="10" t="s">
        <v>2</v>
      </c>
      <c r="B1" s="10" t="s">
        <v>1</v>
      </c>
      <c r="C1" s="10" t="s">
        <v>26</v>
      </c>
    </row>
    <row r="2" spans="1:13" x14ac:dyDescent="0.25">
      <c r="A2" s="12" t="s">
        <v>5</v>
      </c>
      <c r="B2" s="11">
        <f>286-61</f>
        <v>225</v>
      </c>
      <c r="C2" s="12">
        <v>2007</v>
      </c>
    </row>
    <row r="3" spans="1:13" x14ac:dyDescent="0.25">
      <c r="A3" s="12" t="s">
        <v>35</v>
      </c>
      <c r="B3" s="11">
        <v>376</v>
      </c>
      <c r="C3" s="12">
        <v>2007</v>
      </c>
    </row>
    <row r="4" spans="1:13" x14ac:dyDescent="0.25">
      <c r="A4" s="12" t="s">
        <v>29</v>
      </c>
      <c r="B4" s="11">
        <v>1319</v>
      </c>
      <c r="C4" s="12">
        <v>2007</v>
      </c>
    </row>
    <row r="5" spans="1:13" x14ac:dyDescent="0.25">
      <c r="A5" s="12" t="s">
        <v>6</v>
      </c>
      <c r="B5" s="11">
        <v>1039</v>
      </c>
      <c r="C5" s="12">
        <v>2007</v>
      </c>
    </row>
    <row r="6" spans="1:13" x14ac:dyDescent="0.25">
      <c r="A6" s="12" t="s">
        <v>15</v>
      </c>
      <c r="B6" s="11">
        <v>1934</v>
      </c>
      <c r="C6" s="12">
        <v>2007</v>
      </c>
      <c r="G6">
        <v>2007</v>
      </c>
      <c r="H6">
        <v>2008</v>
      </c>
      <c r="I6">
        <v>2009</v>
      </c>
      <c r="J6">
        <v>2010</v>
      </c>
      <c r="K6">
        <v>2011</v>
      </c>
    </row>
    <row r="7" spans="1:13" x14ac:dyDescent="0.25">
      <c r="A7" s="12" t="s">
        <v>5</v>
      </c>
      <c r="B7" s="11">
        <f>330-91</f>
        <v>239</v>
      </c>
      <c r="C7" s="12">
        <v>2008</v>
      </c>
      <c r="F7" t="s">
        <v>83</v>
      </c>
      <c r="G7">
        <f>SUMIFS(B2:B51,A2:A51,"Garantito",C2:C51,"2007")</f>
        <v>2832</v>
      </c>
      <c r="H7">
        <f>SUMIFS(B2:B51,A2:A51,"Garantito",C2:C51,"2008")</f>
        <v>2459</v>
      </c>
      <c r="I7">
        <f>SUMIFS(B2:B51,A2:A51,"Garantito",C2:C51,"2009")</f>
        <v>2079</v>
      </c>
      <c r="J7">
        <f>SUMIFS(B2:B51,A2:A51,"Garantito",C2:C51,"2010")</f>
        <v>1929</v>
      </c>
      <c r="K7">
        <f>SUMIFS(B2:B51,A2:A51,"Garantito",C2:C51,"2011")</f>
        <v>2365</v>
      </c>
      <c r="L7" t="s">
        <v>83</v>
      </c>
    </row>
    <row r="8" spans="1:13" x14ac:dyDescent="0.25">
      <c r="A8" s="12" t="s">
        <v>35</v>
      </c>
      <c r="B8" s="11">
        <v>427</v>
      </c>
      <c r="C8" s="12">
        <v>2008</v>
      </c>
      <c r="F8" t="s">
        <v>88</v>
      </c>
      <c r="G8">
        <f>SUMIFS(B2:B51,A2:A51,"Conservativo",C2:C51,"2007")</f>
        <v>3474</v>
      </c>
      <c r="H8">
        <f>SUMIFS(B2:B51,A2:A51,"Conservativo",C2:C51,"2008")</f>
        <v>4247</v>
      </c>
      <c r="I8">
        <f>SUMIFS(B2:B51,A2:A51,"Conservativo",C2:C51,"2009")</f>
        <v>4372</v>
      </c>
      <c r="J8">
        <f>SUMIFS(B2:B51,A2:A51,"Conservativo",C2:C51,"2010")</f>
        <v>4347</v>
      </c>
      <c r="K8">
        <f>SUMIFS(B2:B51,A2:A51,"Conservativo",C2:C51,"2011")</f>
        <v>4489</v>
      </c>
      <c r="L8" t="s">
        <v>88</v>
      </c>
    </row>
    <row r="9" spans="1:13" x14ac:dyDescent="0.25">
      <c r="A9" s="12" t="s">
        <v>29</v>
      </c>
      <c r="B9" s="11">
        <v>1386</v>
      </c>
      <c r="C9" s="12">
        <v>2008</v>
      </c>
      <c r="F9" t="s">
        <v>87</v>
      </c>
      <c r="G9">
        <f>SUMIFS(B2:B51,A2:A51,"Prudente",C2:C51,"2007")</f>
        <v>44830</v>
      </c>
      <c r="H9">
        <f>SUMIFS(B2:B51,A2:A51,"Prudente",C2:C51,"2008")</f>
        <v>45337</v>
      </c>
      <c r="I9">
        <f>SUMIFS(B2:B51,A2:A51,"Prudente",C2:C51,"2009")</f>
        <v>45478</v>
      </c>
      <c r="J9">
        <f>SUMIFS(B2:B51,A2:A51,"Prudente",C2:C51,"2010")</f>
        <v>43367</v>
      </c>
      <c r="K9">
        <f>SUMIFS(B2:B51,A2:A51,"Prudente",C2:C51,"2011")</f>
        <v>42162</v>
      </c>
      <c r="L9" t="s">
        <v>87</v>
      </c>
    </row>
    <row r="10" spans="1:13" x14ac:dyDescent="0.25">
      <c r="A10" s="12" t="s">
        <v>6</v>
      </c>
      <c r="B10" s="11">
        <v>1869</v>
      </c>
      <c r="C10" s="12">
        <v>2008</v>
      </c>
      <c r="F10" t="s">
        <v>84</v>
      </c>
      <c r="G10">
        <f>SUMIFS(B2:B51,A2:A51,"Bilanciato",C2:C51,"2007")</f>
        <v>10092</v>
      </c>
      <c r="H10">
        <f>SUMIFS(B2:B51,A2:A51,"Bilanciato",C2:C51,"2008")</f>
        <v>10974</v>
      </c>
      <c r="I10">
        <f>SUMIFS(B2:B51,A2:A51,"Bilanciato",C2:C51,"2009")</f>
        <v>10140</v>
      </c>
      <c r="J10">
        <f>SUMIFS(B2:B51,A2:A51,"Bilanciato",C2:C51,"2010")</f>
        <v>9938</v>
      </c>
      <c r="K10">
        <f>SUMIFS(B2:B51,A2:A51,"Bilanciato",C2:C51,"2011")</f>
        <v>9806</v>
      </c>
      <c r="L10" t="s">
        <v>84</v>
      </c>
    </row>
    <row r="11" spans="1:13" x14ac:dyDescent="0.25">
      <c r="A11" s="12" t="s">
        <v>15</v>
      </c>
      <c r="B11" s="11">
        <v>954</v>
      </c>
      <c r="C11" s="12">
        <v>2008</v>
      </c>
      <c r="F11" t="s">
        <v>86</v>
      </c>
      <c r="G11">
        <f>SUMIFS(B2:B51,A2:A51,"Dinamico",C2:C51,"2007")</f>
        <v>5842</v>
      </c>
      <c r="H11">
        <f>SUMIFS(B2:B51,A2:A51,"Dinamico",C2:C51,"2008")</f>
        <v>4885</v>
      </c>
      <c r="I11">
        <f>SUMIFS(B2:B51,A2:A51,"Dinamico",C2:C51,"2009")</f>
        <v>4880</v>
      </c>
      <c r="J11">
        <f>SUMIFS(B2:B51,A2:A51,"Dinamico",C2:C51,"2010")</f>
        <v>4742</v>
      </c>
      <c r="K11">
        <f>SUMIFS(B2:B51,A2:A51,"Dinamico",C2:C51,"2011")</f>
        <v>4684</v>
      </c>
      <c r="L11" t="s">
        <v>86</v>
      </c>
    </row>
    <row r="12" spans="1:13" x14ac:dyDescent="0.25">
      <c r="A12" s="12" t="s">
        <v>5</v>
      </c>
      <c r="B12" s="11">
        <f>368-96</f>
        <v>272</v>
      </c>
      <c r="C12" s="12">
        <v>2009</v>
      </c>
      <c r="G12">
        <f>SUM(G7:G11)</f>
        <v>67070</v>
      </c>
      <c r="H12">
        <f t="shared" ref="H12:K12" si="0">SUM(H7:H11)</f>
        <v>67902</v>
      </c>
      <c r="I12">
        <f t="shared" si="0"/>
        <v>66949</v>
      </c>
      <c r="J12">
        <f t="shared" si="0"/>
        <v>64323</v>
      </c>
      <c r="K12">
        <f t="shared" si="0"/>
        <v>63506</v>
      </c>
      <c r="M12">
        <f>SUM(G12:K12)</f>
        <v>329750</v>
      </c>
    </row>
    <row r="13" spans="1:13" x14ac:dyDescent="0.25">
      <c r="A13" s="12" t="s">
        <v>35</v>
      </c>
      <c r="B13" s="11">
        <v>452</v>
      </c>
      <c r="C13" s="12">
        <v>2009</v>
      </c>
    </row>
    <row r="14" spans="1:13" x14ac:dyDescent="0.25">
      <c r="A14" s="12" t="s">
        <v>29</v>
      </c>
      <c r="B14" s="11">
        <v>1360</v>
      </c>
      <c r="C14" s="12">
        <v>2009</v>
      </c>
    </row>
    <row r="15" spans="1:13" x14ac:dyDescent="0.25">
      <c r="A15" s="12" t="s">
        <v>6</v>
      </c>
      <c r="B15" s="11">
        <v>1752</v>
      </c>
      <c r="C15" s="12">
        <v>2009</v>
      </c>
    </row>
    <row r="16" spans="1:13" x14ac:dyDescent="0.25">
      <c r="A16" s="12" t="s">
        <v>15</v>
      </c>
      <c r="B16" s="11">
        <v>896</v>
      </c>
      <c r="C16" s="12">
        <v>2009</v>
      </c>
      <c r="G16">
        <v>2007</v>
      </c>
      <c r="H16">
        <v>2008</v>
      </c>
      <c r="I16">
        <v>2009</v>
      </c>
      <c r="J16">
        <v>2010</v>
      </c>
      <c r="K16">
        <v>2011</v>
      </c>
    </row>
    <row r="17" spans="1:13" x14ac:dyDescent="0.25">
      <c r="A17" s="12" t="s">
        <v>5</v>
      </c>
      <c r="B17" s="11">
        <f>410-105</f>
        <v>305</v>
      </c>
      <c r="C17" s="12">
        <v>2010</v>
      </c>
      <c r="F17" t="s">
        <v>83</v>
      </c>
      <c r="G17" s="15">
        <v>0.09</v>
      </c>
      <c r="H17" s="15">
        <v>7.0000000000000007E-2</v>
      </c>
      <c r="I17" s="15">
        <v>0.08</v>
      </c>
      <c r="J17" s="15">
        <v>0.08</v>
      </c>
      <c r="K17" s="15">
        <v>0.08</v>
      </c>
      <c r="L17" t="s">
        <v>83</v>
      </c>
      <c r="M17" s="15">
        <f>AVERAGE(G17:K17)</f>
        <v>0.08</v>
      </c>
    </row>
    <row r="18" spans="1:13" x14ac:dyDescent="0.25">
      <c r="A18" s="12" t="s">
        <v>35</v>
      </c>
      <c r="B18" s="11">
        <v>439</v>
      </c>
      <c r="C18" s="12">
        <v>2010</v>
      </c>
      <c r="F18" t="s">
        <v>88</v>
      </c>
      <c r="G18" s="15">
        <v>0.1</v>
      </c>
      <c r="H18" s="15">
        <v>0.1</v>
      </c>
      <c r="I18" s="15">
        <v>0.1</v>
      </c>
      <c r="J18" s="15">
        <v>0.12</v>
      </c>
      <c r="K18" s="15">
        <v>0.12</v>
      </c>
      <c r="L18" t="s">
        <v>88</v>
      </c>
      <c r="M18" s="15">
        <f>AVERAGE(G18:K18)</f>
        <v>0.10800000000000001</v>
      </c>
    </row>
    <row r="19" spans="1:13" x14ac:dyDescent="0.25">
      <c r="A19" s="12" t="s">
        <v>29</v>
      </c>
      <c r="B19" s="11">
        <v>1325</v>
      </c>
      <c r="C19" s="12">
        <v>2010</v>
      </c>
      <c r="F19" t="s">
        <v>87</v>
      </c>
      <c r="G19" s="15">
        <v>0.66</v>
      </c>
      <c r="H19" s="15">
        <v>0.66</v>
      </c>
      <c r="I19" s="15">
        <v>0.55000000000000004</v>
      </c>
      <c r="J19" s="15">
        <v>0.5</v>
      </c>
      <c r="K19" s="15">
        <v>0.5</v>
      </c>
      <c r="L19" t="s">
        <v>87</v>
      </c>
      <c r="M19" s="15">
        <f>AVERAGE(G19:K19)</f>
        <v>0.57400000000000007</v>
      </c>
    </row>
    <row r="20" spans="1:13" x14ac:dyDescent="0.25">
      <c r="A20" s="12" t="s">
        <v>6</v>
      </c>
      <c r="B20" s="11">
        <v>1710</v>
      </c>
      <c r="C20" s="12">
        <v>2010</v>
      </c>
      <c r="F20" t="s">
        <v>84</v>
      </c>
      <c r="G20" s="15">
        <v>0.2</v>
      </c>
      <c r="H20" s="15">
        <v>0.2</v>
      </c>
      <c r="I20" s="15">
        <v>0.22</v>
      </c>
      <c r="J20" s="15">
        <v>0.18</v>
      </c>
      <c r="K20" s="15">
        <v>0.18</v>
      </c>
      <c r="L20" t="s">
        <v>84</v>
      </c>
      <c r="M20" s="15">
        <f>AVERAGE(G20:K20)</f>
        <v>0.19600000000000001</v>
      </c>
    </row>
    <row r="21" spans="1:13" x14ac:dyDescent="0.25">
      <c r="A21" s="12" t="s">
        <v>15</v>
      </c>
      <c r="B21" s="11">
        <v>841</v>
      </c>
      <c r="C21" s="12">
        <v>2010</v>
      </c>
      <c r="F21" t="s">
        <v>86</v>
      </c>
      <c r="G21" s="15">
        <v>0.04</v>
      </c>
      <c r="H21" s="15">
        <v>0.04</v>
      </c>
      <c r="I21" s="15">
        <v>0.02</v>
      </c>
      <c r="J21" s="15">
        <v>0.02</v>
      </c>
      <c r="K21" s="15">
        <v>0.02</v>
      </c>
      <c r="L21" t="s">
        <v>86</v>
      </c>
      <c r="M21" s="15">
        <f>AVERAGE(G21:K21)</f>
        <v>2.8000000000000004E-2</v>
      </c>
    </row>
    <row r="22" spans="1:13" x14ac:dyDescent="0.25">
      <c r="A22" s="12" t="s">
        <v>5</v>
      </c>
      <c r="B22" s="11">
        <v>300</v>
      </c>
      <c r="C22" s="12">
        <v>2011</v>
      </c>
      <c r="M22" s="15">
        <f>SUM(M17:M21)</f>
        <v>0.98599999999999999</v>
      </c>
    </row>
    <row r="23" spans="1:13" x14ac:dyDescent="0.25">
      <c r="A23" s="12" t="s">
        <v>35</v>
      </c>
      <c r="B23" s="11">
        <v>450</v>
      </c>
      <c r="C23" s="12">
        <v>2011</v>
      </c>
    </row>
    <row r="24" spans="1:13" x14ac:dyDescent="0.25">
      <c r="A24" s="12" t="s">
        <v>29</v>
      </c>
      <c r="B24" s="11">
        <v>1400</v>
      </c>
      <c r="C24" s="12">
        <v>2011</v>
      </c>
      <c r="F24" t="s">
        <v>85</v>
      </c>
      <c r="G24" s="15">
        <f t="shared" ref="G24:K28" si="1">(G17*100)^2</f>
        <v>81</v>
      </c>
      <c r="H24" s="15">
        <f t="shared" si="1"/>
        <v>49.000000000000014</v>
      </c>
      <c r="I24" s="15">
        <f t="shared" si="1"/>
        <v>64</v>
      </c>
      <c r="J24" s="15">
        <f t="shared" si="1"/>
        <v>64</v>
      </c>
      <c r="K24" s="15">
        <f t="shared" si="1"/>
        <v>64</v>
      </c>
      <c r="M24" s="17">
        <f>(M17*100)^2</f>
        <v>64</v>
      </c>
    </row>
    <row r="25" spans="1:13" x14ac:dyDescent="0.25">
      <c r="A25" s="12" t="s">
        <v>6</v>
      </c>
      <c r="B25" s="11">
        <v>1600</v>
      </c>
      <c r="C25" s="12">
        <v>2011</v>
      </c>
      <c r="G25" s="15">
        <f t="shared" si="1"/>
        <v>100</v>
      </c>
      <c r="H25" s="15">
        <f t="shared" si="1"/>
        <v>100</v>
      </c>
      <c r="I25" s="15">
        <f t="shared" si="1"/>
        <v>100</v>
      </c>
      <c r="J25" s="15">
        <f t="shared" si="1"/>
        <v>144</v>
      </c>
      <c r="K25" s="15">
        <f t="shared" si="1"/>
        <v>144</v>
      </c>
      <c r="M25" s="17">
        <f>(M18*100)^2</f>
        <v>116.64000000000001</v>
      </c>
    </row>
    <row r="26" spans="1:13" x14ac:dyDescent="0.25">
      <c r="A26" s="12" t="s">
        <v>15</v>
      </c>
      <c r="B26" s="11">
        <v>850</v>
      </c>
      <c r="C26" s="12">
        <v>2011</v>
      </c>
      <c r="G26" s="15">
        <f t="shared" si="1"/>
        <v>4356</v>
      </c>
      <c r="H26" s="15">
        <f t="shared" si="1"/>
        <v>4356</v>
      </c>
      <c r="I26" s="15">
        <f t="shared" si="1"/>
        <v>3025.0000000000009</v>
      </c>
      <c r="J26" s="15">
        <f t="shared" si="1"/>
        <v>2500</v>
      </c>
      <c r="K26" s="15">
        <f t="shared" si="1"/>
        <v>2500</v>
      </c>
      <c r="M26" s="17">
        <f>(M19*100)^2</f>
        <v>3294.7600000000007</v>
      </c>
    </row>
    <row r="27" spans="1:13" x14ac:dyDescent="0.25">
      <c r="A27" s="12" t="s">
        <v>5</v>
      </c>
      <c r="B27" s="12">
        <f>5989-3382</f>
        <v>2607</v>
      </c>
      <c r="C27" s="12">
        <v>2007</v>
      </c>
      <c r="G27" s="15">
        <f t="shared" si="1"/>
        <v>400</v>
      </c>
      <c r="H27" s="15">
        <f t="shared" si="1"/>
        <v>400</v>
      </c>
      <c r="I27" s="15">
        <f t="shared" si="1"/>
        <v>484</v>
      </c>
      <c r="J27" s="15">
        <f t="shared" si="1"/>
        <v>324</v>
      </c>
      <c r="K27" s="15">
        <f t="shared" si="1"/>
        <v>324</v>
      </c>
      <c r="M27" s="17">
        <f>(M20*100)^2</f>
        <v>384.16000000000008</v>
      </c>
    </row>
    <row r="28" spans="1:13" x14ac:dyDescent="0.25">
      <c r="A28" s="12" t="s">
        <v>35</v>
      </c>
      <c r="B28" s="11">
        <v>3098</v>
      </c>
      <c r="C28" s="12">
        <v>2007</v>
      </c>
      <c r="G28" s="15">
        <f t="shared" si="1"/>
        <v>16</v>
      </c>
      <c r="H28" s="15">
        <f t="shared" si="1"/>
        <v>16</v>
      </c>
      <c r="I28" s="15">
        <f t="shared" si="1"/>
        <v>4</v>
      </c>
      <c r="J28" s="15">
        <f t="shared" si="1"/>
        <v>4</v>
      </c>
      <c r="K28" s="15">
        <f t="shared" si="1"/>
        <v>4</v>
      </c>
      <c r="M28" s="17">
        <f>(M21*100)^2</f>
        <v>7.8400000000000016</v>
      </c>
    </row>
    <row r="29" spans="1:13" x14ac:dyDescent="0.25">
      <c r="A29" s="12" t="s">
        <v>29</v>
      </c>
      <c r="B29" s="11">
        <v>43511</v>
      </c>
      <c r="C29" s="12">
        <v>2007</v>
      </c>
    </row>
    <row r="30" spans="1:13" x14ac:dyDescent="0.25">
      <c r="A30" s="12" t="s">
        <v>6</v>
      </c>
      <c r="B30" s="11">
        <v>9053</v>
      </c>
      <c r="C30" s="12">
        <v>2007</v>
      </c>
    </row>
    <row r="31" spans="1:13" x14ac:dyDescent="0.25">
      <c r="A31" s="12" t="s">
        <v>15</v>
      </c>
      <c r="B31" s="11">
        <v>3908</v>
      </c>
      <c r="C31" s="12">
        <v>2007</v>
      </c>
    </row>
    <row r="32" spans="1:13" x14ac:dyDescent="0.25">
      <c r="A32" s="12" t="s">
        <v>5</v>
      </c>
      <c r="B32" s="11">
        <f>6192-3972</f>
        <v>2220</v>
      </c>
      <c r="C32" s="12">
        <v>2008</v>
      </c>
    </row>
    <row r="33" spans="1:3" x14ac:dyDescent="0.25">
      <c r="A33" s="12" t="s">
        <v>35</v>
      </c>
      <c r="B33" s="11">
        <v>3820</v>
      </c>
      <c r="C33" s="12">
        <v>2008</v>
      </c>
    </row>
    <row r="34" spans="1:3" x14ac:dyDescent="0.25">
      <c r="A34" s="12" t="s">
        <v>29</v>
      </c>
      <c r="B34" s="11">
        <v>43951</v>
      </c>
      <c r="C34" s="12">
        <v>2008</v>
      </c>
    </row>
    <row r="35" spans="1:3" x14ac:dyDescent="0.25">
      <c r="A35" s="12" t="s">
        <v>6</v>
      </c>
      <c r="B35" s="11">
        <v>9105</v>
      </c>
      <c r="C35" s="12">
        <v>2008</v>
      </c>
    </row>
    <row r="36" spans="1:3" x14ac:dyDescent="0.25">
      <c r="A36" s="12" t="s">
        <v>15</v>
      </c>
      <c r="B36" s="11">
        <v>3931</v>
      </c>
      <c r="C36" s="12">
        <v>2008</v>
      </c>
    </row>
    <row r="37" spans="1:3" x14ac:dyDescent="0.25">
      <c r="A37" s="12" t="s">
        <v>5</v>
      </c>
      <c r="B37" s="11">
        <f>6214-4407</f>
        <v>1807</v>
      </c>
      <c r="C37" s="12">
        <v>2009</v>
      </c>
    </row>
    <row r="38" spans="1:3" x14ac:dyDescent="0.25">
      <c r="A38" s="12" t="s">
        <v>35</v>
      </c>
      <c r="B38" s="11">
        <v>3920</v>
      </c>
      <c r="C38" s="12">
        <v>2009</v>
      </c>
    </row>
    <row r="39" spans="1:3" x14ac:dyDescent="0.25">
      <c r="A39" s="12" t="s">
        <v>29</v>
      </c>
      <c r="B39" s="11">
        <v>44118</v>
      </c>
      <c r="C39" s="12">
        <v>2009</v>
      </c>
    </row>
    <row r="40" spans="1:3" x14ac:dyDescent="0.25">
      <c r="A40" s="12" t="s">
        <v>6</v>
      </c>
      <c r="B40" s="11">
        <v>8388</v>
      </c>
      <c r="C40" s="12">
        <v>2009</v>
      </c>
    </row>
    <row r="41" spans="1:3" x14ac:dyDescent="0.25">
      <c r="A41" s="12" t="s">
        <v>15</v>
      </c>
      <c r="B41" s="11">
        <v>3984</v>
      </c>
      <c r="C41" s="12">
        <v>2009</v>
      </c>
    </row>
    <row r="42" spans="1:3" x14ac:dyDescent="0.25">
      <c r="A42" s="12" t="s">
        <v>5</v>
      </c>
      <c r="B42" s="11">
        <f>6280-4656</f>
        <v>1624</v>
      </c>
      <c r="C42" s="12">
        <v>2010</v>
      </c>
    </row>
    <row r="43" spans="1:3" x14ac:dyDescent="0.25">
      <c r="A43" s="12" t="s">
        <v>35</v>
      </c>
      <c r="B43" s="11">
        <v>3908</v>
      </c>
      <c r="C43" s="12">
        <v>2010</v>
      </c>
    </row>
    <row r="44" spans="1:3" x14ac:dyDescent="0.25">
      <c r="A44" s="12" t="s">
        <v>29</v>
      </c>
      <c r="B44" s="11">
        <v>42042</v>
      </c>
      <c r="C44" s="12">
        <v>2010</v>
      </c>
    </row>
    <row r="45" spans="1:3" x14ac:dyDescent="0.25">
      <c r="A45" s="12" t="s">
        <v>6</v>
      </c>
      <c r="B45" s="11">
        <v>8228</v>
      </c>
      <c r="C45" s="12">
        <v>2010</v>
      </c>
    </row>
    <row r="46" spans="1:3" x14ac:dyDescent="0.25">
      <c r="A46" s="12" t="s">
        <v>15</v>
      </c>
      <c r="B46" s="11">
        <v>3901</v>
      </c>
      <c r="C46" s="12">
        <v>2010</v>
      </c>
    </row>
    <row r="47" spans="1:3" x14ac:dyDescent="0.25">
      <c r="A47" s="12" t="s">
        <v>5</v>
      </c>
      <c r="B47" s="11">
        <v>2065</v>
      </c>
      <c r="C47" s="12">
        <v>2011</v>
      </c>
    </row>
    <row r="48" spans="1:3" x14ac:dyDescent="0.25">
      <c r="A48" s="12" t="s">
        <v>35</v>
      </c>
      <c r="B48" s="11">
        <v>4039</v>
      </c>
      <c r="C48" s="12">
        <v>2011</v>
      </c>
    </row>
    <row r="49" spans="1:3" x14ac:dyDescent="0.25">
      <c r="A49" s="12" t="s">
        <v>29</v>
      </c>
      <c r="B49" s="11">
        <v>40762</v>
      </c>
      <c r="C49" s="12">
        <v>2011</v>
      </c>
    </row>
    <row r="50" spans="1:3" x14ac:dyDescent="0.25">
      <c r="A50" s="12" t="s">
        <v>6</v>
      </c>
      <c r="B50" s="11">
        <v>8206</v>
      </c>
      <c r="C50" s="12">
        <v>2011</v>
      </c>
    </row>
    <row r="51" spans="1:3" x14ac:dyDescent="0.25">
      <c r="A51" s="12" t="s">
        <v>15</v>
      </c>
      <c r="B51" s="11">
        <v>3834</v>
      </c>
      <c r="C51" s="12">
        <v>2011</v>
      </c>
    </row>
  </sheetData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8</vt:i4>
      </vt:variant>
    </vt:vector>
  </HeadingPairs>
  <TitlesOfParts>
    <vt:vector size="8" baseType="lpstr">
      <vt:lpstr>2 linee </vt:lpstr>
      <vt:lpstr>3 linee</vt:lpstr>
      <vt:lpstr>4 linee</vt:lpstr>
      <vt:lpstr>5 linee</vt:lpstr>
      <vt:lpstr>Grafico2linee</vt:lpstr>
      <vt:lpstr>Grafico3linee</vt:lpstr>
      <vt:lpstr>Grafico4linee</vt:lpstr>
      <vt:lpstr>Grafico5linee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2013-12-11T20:54:47Z</dcterms:modified>
</cp:coreProperties>
</file>