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5" windowWidth="15075" windowHeight="13740" tabRatio="743"/>
  </bookViews>
  <sheets>
    <sheet name="READ_ME" sheetId="15" r:id="rId1"/>
    <sheet name="calcs" sheetId="1" r:id="rId2"/>
    <sheet name="Tbl_6_intrans" sheetId="5" r:id="rId3"/>
    <sheet name="Tbl_6_trans" sheetId="6" r:id="rId4"/>
    <sheet name="Tbl_6_trans_cnstrn" sheetId="7" r:id="rId5"/>
    <sheet name="Ex1_8_2" sheetId="8" r:id="rId6"/>
    <sheet name="EX2_8_2" sheetId="11" r:id="rId7"/>
    <sheet name="EX3_8_2" sheetId="12" r:id="rId8"/>
    <sheet name="EX4_8_2" sheetId="13" r:id="rId9"/>
    <sheet name="EX5_8_2" sheetId="9" r:id="rId10"/>
    <sheet name="EX6_8_2" sheetId="10" r:id="rId11"/>
  </sheets>
  <definedNames>
    <definedName name="Acol_111">calcs!#REF!</definedName>
    <definedName name="Acol_112">calcs!#REF!</definedName>
    <definedName name="Acol_121">calcs!#REF!</definedName>
    <definedName name="Acol_122">calcs!#REF!</definedName>
    <definedName name="Acol_211">calcs!#REF!</definedName>
    <definedName name="Acol_212">calcs!#REF!</definedName>
    <definedName name="Acol_221">calcs!#REF!</definedName>
    <definedName name="Acol_222">calcs!#REF!</definedName>
    <definedName name="APcol_111">calcs!#REF!</definedName>
    <definedName name="APcol_112">calcs!#REF!</definedName>
    <definedName name="APcol_121">calcs!#REF!</definedName>
    <definedName name="APcol_122">calcs!#REF!</definedName>
    <definedName name="APcol_211">calcs!#REF!</definedName>
    <definedName name="APcol_212">calcs!#REF!</definedName>
    <definedName name="APcol_221">calcs!#REF!</definedName>
    <definedName name="APcol_222">calcs!#REF!</definedName>
    <definedName name="AProw_111">calcs!#REF!</definedName>
    <definedName name="AProw_112">calcs!#REF!</definedName>
    <definedName name="AProw_121">calcs!#REF!</definedName>
    <definedName name="AProw_211">calcs!#REF!</definedName>
    <definedName name="AProw_212">calcs!#REF!</definedName>
    <definedName name="AProw_221">calcs!#REF!</definedName>
    <definedName name="AProw_222">calcs!#REF!</definedName>
    <definedName name="AProw122">calcs!#REF!</definedName>
    <definedName name="Arow_111">calcs!#REF!</definedName>
    <definedName name="Arow_112">calcs!#REF!</definedName>
    <definedName name="Arow_121">calcs!#REF!</definedName>
    <definedName name="Arow_122">calcs!#REF!</definedName>
    <definedName name="Arow_211">calcs!#REF!</definedName>
    <definedName name="Arow_212">calcs!#REF!</definedName>
    <definedName name="Arow_221">calcs!#REF!</definedName>
    <definedName name="Arow_222">calcs!#REF!</definedName>
    <definedName name="col_111">calcs!$D$13:$K$13</definedName>
    <definedName name="col_112">calcs!$D$24:$K$24</definedName>
    <definedName name="col_121">calcs!$D$35:$K$35</definedName>
    <definedName name="col_122">calcs!$D$46:$K$46</definedName>
    <definedName name="col_211">calcs!$D$57:$K$57</definedName>
    <definedName name="col_212">calcs!$D$68:$K$68</definedName>
    <definedName name="col_221">calcs!$D$79:$K$79</definedName>
    <definedName name="col_222">calcs!$D$90:$K$90</definedName>
    <definedName name="col_I">calcs!$O$24:$V$24</definedName>
    <definedName name="col_MR">calcs!#REF!</definedName>
    <definedName name="col_R">calcs!#REF!</definedName>
    <definedName name="e1_">calcs!$A$2</definedName>
    <definedName name="e2_">calcs!$B$2</definedName>
    <definedName name="e3_">calcs!$C$2</definedName>
    <definedName name="ep1_">calcs!$B$6</definedName>
    <definedName name="ep2_">calcs!$B$7</definedName>
    <definedName name="ep3_">calcs!$B$8</definedName>
    <definedName name="p_111">calcs!$D$2</definedName>
    <definedName name="p_112">calcs!$E$2</definedName>
    <definedName name="p_121">calcs!$F$2</definedName>
    <definedName name="p_122">calcs!$G$2</definedName>
    <definedName name="p_211">calcs!$H$2</definedName>
    <definedName name="p_212">calcs!$I$2</definedName>
    <definedName name="p_221">calcs!$J$2</definedName>
    <definedName name="p_222">calcs!$K$2</definedName>
    <definedName name="p_MR">calcs!$A$11</definedName>
    <definedName name="p_R">calcs!$B$11</definedName>
    <definedName name="row_111">calcs!$B$15:$B$22</definedName>
    <definedName name="row_112">calcs!$B$26:$B$33</definedName>
    <definedName name="row_121">calcs!$B$37:$B$44</definedName>
    <definedName name="row_122">calcs!$B$48:$B$55</definedName>
    <definedName name="row_211">calcs!$B$59:$B$66</definedName>
    <definedName name="row_212">calcs!$B$70:$B$77</definedName>
    <definedName name="row_221">calcs!$B$81:$B$88</definedName>
    <definedName name="row_222">calcs!$B$92:$B$99</definedName>
    <definedName name="row_I">calcs!$M$26:$M$33</definedName>
    <definedName name="row_MR">calcs!#REF!</definedName>
    <definedName name="row_R">calcs!#REF!</definedName>
    <definedName name="solver_adj" localSheetId="1" hidden="1">calcs!$D$2,calcs!$K$2</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calcs!$L$2</definedName>
    <definedName name="solver_lhs10" localSheetId="1" hidden="1">calcs!$B$8</definedName>
    <definedName name="solver_lhs11" localSheetId="1" hidden="1">calcs!$D$2</definedName>
    <definedName name="solver_lhs12" localSheetId="1" hidden="1">calcs!$E$2</definedName>
    <definedName name="solver_lhs13" localSheetId="1" hidden="1">calcs!$F$2</definedName>
    <definedName name="solver_lhs14" localSheetId="1" hidden="1">calcs!$G$2</definedName>
    <definedName name="solver_lhs15" localSheetId="1" hidden="1">calcs!$H$2</definedName>
    <definedName name="solver_lhs16" localSheetId="1" hidden="1">calcs!$I$2</definedName>
    <definedName name="solver_lhs17" localSheetId="1" hidden="1">calcs!$J$2</definedName>
    <definedName name="solver_lhs18" localSheetId="1" hidden="1">calcs!$K$2</definedName>
    <definedName name="solver_lhs19" localSheetId="1" hidden="1">calcs!$A$11</definedName>
    <definedName name="solver_lhs2" localSheetId="1" hidden="1">calcs!$A$2</definedName>
    <definedName name="solver_lhs20" localSheetId="1" hidden="1">calcs!$B$11</definedName>
    <definedName name="solver_lhs21" localSheetId="1" hidden="1">calcs!$B$11</definedName>
    <definedName name="solver_lhs22" localSheetId="1" hidden="1">calcs!$B$11</definedName>
    <definedName name="solver_lhs23" localSheetId="1" hidden="1">calcs!$B$11</definedName>
    <definedName name="solver_lhs3" localSheetId="1" hidden="1">calcs!$A$2</definedName>
    <definedName name="solver_lhs4" localSheetId="1" hidden="1">calcs!$B$2</definedName>
    <definedName name="solver_lhs5" localSheetId="1" hidden="1">calcs!$B$2</definedName>
    <definedName name="solver_lhs6" localSheetId="1" hidden="1">calcs!$C$2</definedName>
    <definedName name="solver_lhs7" localSheetId="1" hidden="1">calcs!$C$2</definedName>
    <definedName name="solver_lhs8" localSheetId="1" hidden="1">calcs!$B$6</definedName>
    <definedName name="solver_lhs9" localSheetId="1" hidden="1">calcs!$B$7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20</definedName>
    <definedName name="solver_nwt" localSheetId="1" hidden="1">1</definedName>
    <definedName name="solver_opt" localSheetId="1" hidden="1">calcs!$L$148</definedName>
    <definedName name="solver_pre" localSheetId="1" hidden="1">0.000001</definedName>
    <definedName name="solver_rbv" localSheetId="1" hidden="1">1</definedName>
    <definedName name="solver_rel1" localSheetId="1" hidden="1">2</definedName>
    <definedName name="solver_rel10" localSheetId="1" hidden="1">3</definedName>
    <definedName name="solver_rel11" localSheetId="1" hidden="1">3</definedName>
    <definedName name="solver_rel12" localSheetId="1" hidden="1">3</definedName>
    <definedName name="solver_rel13" localSheetId="1" hidden="1">3</definedName>
    <definedName name="solver_rel14" localSheetId="1" hidden="1">3</definedName>
    <definedName name="solver_rel15" localSheetId="1" hidden="1">3</definedName>
    <definedName name="solver_rel16" localSheetId="1" hidden="1">3</definedName>
    <definedName name="solver_rel17" localSheetId="1" hidden="1">3</definedName>
    <definedName name="solver_rel18" localSheetId="1" hidden="1">3</definedName>
    <definedName name="solver_rel19" localSheetId="1" hidden="1">3</definedName>
    <definedName name="solver_rel2" localSheetId="1" hidden="1">1</definedName>
    <definedName name="solver_rel20" localSheetId="1" hidden="1">3</definedName>
    <definedName name="solver_rel21" localSheetId="1" hidden="1">3</definedName>
    <definedName name="solver_rel22" localSheetId="1" hidden="1">3</definedName>
    <definedName name="solver_rel23" localSheetId="1" hidden="1">3</definedName>
    <definedName name="solver_rel3" localSheetId="1" hidden="1">3</definedName>
    <definedName name="solver_rel4" localSheetId="1" hidden="1">1</definedName>
    <definedName name="solver_rel5" localSheetId="1" hidden="1">3</definedName>
    <definedName name="solver_rel6" localSheetId="1" hidden="1">1</definedName>
    <definedName name="solver_rel7" localSheetId="1" hidden="1">3</definedName>
    <definedName name="solver_rel8" localSheetId="1" hidden="1">3</definedName>
    <definedName name="solver_rel9" localSheetId="1" hidden="1">3</definedName>
    <definedName name="solver_rhs1" localSheetId="1" hidden="1">1</definedName>
    <definedName name="solver_rhs10" localSheetId="1" hidden="1">0</definedName>
    <definedName name="solver_rhs11" localSheetId="1" hidden="1">0</definedName>
    <definedName name="solver_rhs12" localSheetId="1" hidden="1">0</definedName>
    <definedName name="solver_rhs13" localSheetId="1" hidden="1">0</definedName>
    <definedName name="solver_rhs14" localSheetId="1" hidden="1">0</definedName>
    <definedName name="solver_rhs15" localSheetId="1" hidden="1">0</definedName>
    <definedName name="solver_rhs16" localSheetId="1" hidden="1">0</definedName>
    <definedName name="solver_rhs17" localSheetId="1" hidden="1">0</definedName>
    <definedName name="solver_rhs18" localSheetId="1" hidden="1">0</definedName>
    <definedName name="solver_rhs19" localSheetId="1" hidden="1">0</definedName>
    <definedName name="solver_rhs2" localSheetId="1" hidden="1">0.5</definedName>
    <definedName name="solver_rhs20" localSheetId="1" hidden="1">0</definedName>
    <definedName name="solver_rhs21" localSheetId="1" hidden="1">0</definedName>
    <definedName name="solver_rhs22" localSheetId="1" hidden="1">0</definedName>
    <definedName name="solver_rhs23" localSheetId="1" hidden="1">0</definedName>
    <definedName name="solver_rhs3" localSheetId="1" hidden="1">0</definedName>
    <definedName name="solver_rhs4" localSheetId="1" hidden="1">0.5</definedName>
    <definedName name="solver_rhs5" localSheetId="1" hidden="1">0</definedName>
    <definedName name="solver_rhs6" localSheetId="1" hidden="1">0.5</definedName>
    <definedName name="solver_rhs7" localSheetId="1" hidden="1">0</definedName>
    <definedName name="solver_rhs8" localSheetId="1" hidden="1">0</definedName>
    <definedName name="solver_rhs9" localSheetId="1" hidden="1">0</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45621"/>
</workbook>
</file>

<file path=xl/calcChain.xml><?xml version="1.0" encoding="utf-8"?>
<calcChain xmlns="http://schemas.openxmlformats.org/spreadsheetml/2006/main">
  <c r="E12" i="1" l="1"/>
  <c r="F12" i="1"/>
  <c r="G12" i="1"/>
  <c r="H12" i="1"/>
  <c r="I12" i="1"/>
  <c r="J12" i="1"/>
  <c r="K12" i="1"/>
  <c r="L5" i="1"/>
  <c r="L6" i="1"/>
  <c r="L7" i="1"/>
  <c r="L8" i="1"/>
  <c r="L9" i="1"/>
  <c r="L10" i="1"/>
  <c r="L11" i="1"/>
  <c r="AA11" i="1"/>
  <c r="AA10" i="1"/>
  <c r="AA9" i="1"/>
  <c r="AA8" i="1"/>
  <c r="AA7" i="1"/>
  <c r="AA6" i="1"/>
  <c r="AA5" i="1"/>
  <c r="B99" i="1"/>
  <c r="B98" i="1"/>
  <c r="B97" i="1"/>
  <c r="B96" i="1"/>
  <c r="B95" i="1"/>
  <c r="B94" i="1"/>
  <c r="B93" i="1"/>
  <c r="B92" i="1"/>
  <c r="B88" i="1"/>
  <c r="B87" i="1"/>
  <c r="B86" i="1"/>
  <c r="B85" i="1"/>
  <c r="B84" i="1"/>
  <c r="B83" i="1"/>
  <c r="B82" i="1"/>
  <c r="B81" i="1"/>
  <c r="B77" i="1"/>
  <c r="B76" i="1"/>
  <c r="B75" i="1"/>
  <c r="B74" i="1"/>
  <c r="B73" i="1"/>
  <c r="B72" i="1"/>
  <c r="B71" i="1"/>
  <c r="B70" i="1"/>
  <c r="B66" i="1"/>
  <c r="B65" i="1"/>
  <c r="B64" i="1"/>
  <c r="B63" i="1"/>
  <c r="B62" i="1"/>
  <c r="B61" i="1"/>
  <c r="B60" i="1"/>
  <c r="B59" i="1"/>
  <c r="B55" i="1"/>
  <c r="B54" i="1"/>
  <c r="B53" i="1"/>
  <c r="B52" i="1"/>
  <c r="B51" i="1"/>
  <c r="B50" i="1"/>
  <c r="B49" i="1"/>
  <c r="B48" i="1"/>
  <c r="B44" i="1"/>
  <c r="B43" i="1"/>
  <c r="B42" i="1"/>
  <c r="B41" i="1"/>
  <c r="B40" i="1"/>
  <c r="B39" i="1"/>
  <c r="B38" i="1"/>
  <c r="B37" i="1"/>
  <c r="B33" i="1"/>
  <c r="B32" i="1"/>
  <c r="B31" i="1"/>
  <c r="B30" i="1"/>
  <c r="B29" i="1"/>
  <c r="B28" i="1"/>
  <c r="B27" i="1"/>
  <c r="B26" i="1"/>
  <c r="B22" i="1"/>
  <c r="B21" i="1"/>
  <c r="B20" i="1"/>
  <c r="B19" i="1"/>
  <c r="B18" i="1"/>
  <c r="B17" i="1"/>
  <c r="B16" i="1"/>
  <c r="B15" i="1"/>
  <c r="O13" i="1"/>
  <c r="N13" i="1"/>
  <c r="O12" i="1"/>
  <c r="N12" i="1"/>
  <c r="O10" i="1"/>
  <c r="N10" i="1"/>
  <c r="O9" i="1"/>
  <c r="N9" i="1"/>
  <c r="O7" i="1"/>
  <c r="N7" i="1"/>
  <c r="O6" i="1"/>
  <c r="N6" i="1"/>
  <c r="AA4" i="1"/>
  <c r="AA12" i="1" l="1"/>
  <c r="D12" i="1" l="1"/>
  <c r="L12" i="1" s="1"/>
  <c r="Z5" i="1"/>
  <c r="AB5" i="1" s="1"/>
  <c r="Z6" i="1"/>
  <c r="AB6" i="1" s="1"/>
  <c r="Z7" i="1"/>
  <c r="AB7" i="1" s="1"/>
  <c r="Z8" i="1"/>
  <c r="AB8" i="1" s="1"/>
  <c r="Z9" i="1"/>
  <c r="AB9" i="1" s="1"/>
  <c r="L4" i="1"/>
  <c r="Z4" i="1" s="1"/>
  <c r="Z10" i="1" l="1"/>
  <c r="AB10" i="1" s="1"/>
  <c r="Z11" i="1"/>
  <c r="AB11" i="1" s="1"/>
  <c r="AB4" i="1"/>
  <c r="Q7" i="1" l="1"/>
  <c r="T7" i="1" s="1"/>
  <c r="Q6" i="1"/>
  <c r="T6" i="1" s="1"/>
  <c r="Z12" i="1"/>
  <c r="AB12" i="1"/>
  <c r="O4" i="1"/>
  <c r="O3" i="1"/>
  <c r="P4" i="1"/>
  <c r="P3" i="1"/>
  <c r="P2" i="1"/>
  <c r="O2" i="1"/>
  <c r="Q10" i="1"/>
  <c r="T10" i="1" s="1"/>
  <c r="R13" i="1"/>
  <c r="U13" i="1" s="1"/>
  <c r="Q9" i="1"/>
  <c r="T9" i="1" s="1"/>
  <c r="Q12" i="1"/>
  <c r="T12" i="1" s="1"/>
  <c r="R7" i="1"/>
  <c r="U7" i="1" s="1"/>
  <c r="R10" i="1"/>
  <c r="U10" i="1" s="1"/>
  <c r="Q13" i="1"/>
  <c r="T13" i="1" s="1"/>
  <c r="R6" i="1"/>
  <c r="U6" i="1" s="1"/>
  <c r="R9" i="1"/>
  <c r="U9" i="1" s="1"/>
  <c r="R12" i="1"/>
  <c r="U12" i="1" s="1"/>
  <c r="B8" i="1"/>
  <c r="B7" i="1"/>
  <c r="B6" i="1"/>
  <c r="V6" i="1" l="1"/>
  <c r="W6" i="1" s="1"/>
  <c r="X6" i="1" s="1"/>
  <c r="V9" i="1"/>
  <c r="W9" i="1" s="1"/>
  <c r="X9" i="1" s="1"/>
  <c r="M33" i="1"/>
  <c r="M32" i="1"/>
  <c r="M31" i="1"/>
  <c r="M30" i="1"/>
  <c r="M29" i="1"/>
  <c r="M28" i="1"/>
  <c r="M27" i="1"/>
  <c r="M26" i="1"/>
  <c r="V12" i="1"/>
  <c r="W12" i="1" s="1"/>
  <c r="X12" i="1" s="1"/>
  <c r="U24" i="1"/>
  <c r="S24" i="1"/>
  <c r="Q24" i="1"/>
  <c r="O24" i="1"/>
  <c r="V24" i="1"/>
  <c r="T24" i="1"/>
  <c r="R24" i="1"/>
  <c r="P24" i="1"/>
  <c r="J90" i="1"/>
  <c r="H90" i="1"/>
  <c r="F90" i="1"/>
  <c r="D90" i="1"/>
  <c r="J79" i="1"/>
  <c r="H79" i="1"/>
  <c r="F79" i="1"/>
  <c r="D79" i="1"/>
  <c r="J68" i="1"/>
  <c r="H68" i="1"/>
  <c r="F68" i="1"/>
  <c r="D68" i="1"/>
  <c r="J57" i="1"/>
  <c r="H57" i="1"/>
  <c r="F57" i="1"/>
  <c r="D57" i="1"/>
  <c r="K90" i="1"/>
  <c r="I90" i="1"/>
  <c r="G90" i="1"/>
  <c r="E90" i="1"/>
  <c r="K79" i="1"/>
  <c r="I79" i="1"/>
  <c r="G79" i="1"/>
  <c r="E79" i="1"/>
  <c r="K68" i="1"/>
  <c r="I68" i="1"/>
  <c r="G68" i="1"/>
  <c r="E68" i="1"/>
  <c r="K57" i="1"/>
  <c r="I57" i="1"/>
  <c r="G57" i="1"/>
  <c r="E57" i="1"/>
  <c r="K46" i="1"/>
  <c r="I46" i="1"/>
  <c r="G46" i="1"/>
  <c r="E46" i="1"/>
  <c r="K35" i="1"/>
  <c r="I35" i="1"/>
  <c r="G35" i="1"/>
  <c r="E35" i="1"/>
  <c r="K24" i="1"/>
  <c r="I24" i="1"/>
  <c r="G24" i="1"/>
  <c r="E24" i="1"/>
  <c r="J46" i="1"/>
  <c r="F46" i="1"/>
  <c r="J35" i="1"/>
  <c r="F35" i="1"/>
  <c r="J24" i="1"/>
  <c r="F24" i="1"/>
  <c r="H24" i="1"/>
  <c r="D24" i="1"/>
  <c r="H46" i="1"/>
  <c r="D46" i="1"/>
  <c r="H35" i="1"/>
  <c r="D35" i="1"/>
  <c r="E13" i="1"/>
  <c r="H13" i="1"/>
  <c r="I13" i="1"/>
  <c r="D13" i="1"/>
  <c r="F13" i="1"/>
  <c r="J13" i="1"/>
  <c r="G13" i="1"/>
  <c r="K13" i="1"/>
  <c r="V27" i="1" l="1"/>
  <c r="V38" i="1" s="1"/>
  <c r="V49" i="1" s="1"/>
  <c r="Q27" i="1"/>
  <c r="Q38" i="1" s="1"/>
  <c r="Q49" i="1" s="1"/>
  <c r="U27" i="1"/>
  <c r="U38" i="1" s="1"/>
  <c r="U49" i="1" s="1"/>
  <c r="R27" i="1"/>
  <c r="R38" i="1" s="1"/>
  <c r="R49" i="1" s="1"/>
  <c r="O27" i="1"/>
  <c r="O38" i="1" s="1"/>
  <c r="S27" i="1"/>
  <c r="S38" i="1" s="1"/>
  <c r="S49" i="1" s="1"/>
  <c r="P27" i="1"/>
  <c r="P38" i="1" s="1"/>
  <c r="T27" i="1"/>
  <c r="T38" i="1" s="1"/>
  <c r="T49" i="1" s="1"/>
  <c r="V29" i="1"/>
  <c r="V40" i="1" s="1"/>
  <c r="V51" i="1" s="1"/>
  <c r="Q29" i="1"/>
  <c r="Q40" i="1" s="1"/>
  <c r="Q51" i="1" s="1"/>
  <c r="U29" i="1"/>
  <c r="U40" i="1" s="1"/>
  <c r="U51" i="1" s="1"/>
  <c r="R29" i="1"/>
  <c r="R40" i="1" s="1"/>
  <c r="O29" i="1"/>
  <c r="O40" i="1" s="1"/>
  <c r="S29" i="1"/>
  <c r="S40" i="1" s="1"/>
  <c r="S51" i="1" s="1"/>
  <c r="P29" i="1"/>
  <c r="P40" i="1" s="1"/>
  <c r="P51" i="1" s="1"/>
  <c r="T29" i="1"/>
  <c r="T40" i="1" s="1"/>
  <c r="T51" i="1" s="1"/>
  <c r="U31" i="1"/>
  <c r="U42" i="1" s="1"/>
  <c r="U53" i="1" s="1"/>
  <c r="V31" i="1"/>
  <c r="V42" i="1" s="1"/>
  <c r="V53" i="1" s="1"/>
  <c r="O31" i="1"/>
  <c r="O42" i="1" s="1"/>
  <c r="P31" i="1"/>
  <c r="P42" i="1" s="1"/>
  <c r="P53" i="1" s="1"/>
  <c r="T31" i="1"/>
  <c r="T42" i="1" s="1"/>
  <c r="S31" i="1"/>
  <c r="S42" i="1" s="1"/>
  <c r="S53" i="1" s="1"/>
  <c r="Q31" i="1"/>
  <c r="Q42" i="1" s="1"/>
  <c r="Q53" i="1" s="1"/>
  <c r="R31" i="1"/>
  <c r="R42" i="1" s="1"/>
  <c r="R53" i="1" s="1"/>
  <c r="U33" i="1"/>
  <c r="U44" i="1" s="1"/>
  <c r="U55" i="1" s="1"/>
  <c r="P33" i="1"/>
  <c r="P44" i="1" s="1"/>
  <c r="P55" i="1" s="1"/>
  <c r="T33" i="1"/>
  <c r="T44" i="1" s="1"/>
  <c r="T55" i="1" s="1"/>
  <c r="O33" i="1"/>
  <c r="O44" i="1" s="1"/>
  <c r="Q33" i="1"/>
  <c r="Q44" i="1" s="1"/>
  <c r="Q55" i="1" s="1"/>
  <c r="S33" i="1"/>
  <c r="S44" i="1" s="1"/>
  <c r="S55" i="1" s="1"/>
  <c r="V33" i="1"/>
  <c r="V44" i="1" s="1"/>
  <c r="R33" i="1"/>
  <c r="R44" i="1" s="1"/>
  <c r="R55" i="1" s="1"/>
  <c r="V26" i="1"/>
  <c r="V37" i="1" s="1"/>
  <c r="V48" i="1" s="1"/>
  <c r="Q26" i="1"/>
  <c r="Q37" i="1" s="1"/>
  <c r="Q48" i="1" s="1"/>
  <c r="U26" i="1"/>
  <c r="U37" i="1" s="1"/>
  <c r="U48" i="1" s="1"/>
  <c r="P26" i="1"/>
  <c r="P37" i="1" s="1"/>
  <c r="P48" i="1" s="1"/>
  <c r="T26" i="1"/>
  <c r="T37" i="1" s="1"/>
  <c r="T48" i="1" s="1"/>
  <c r="O26" i="1"/>
  <c r="O37" i="1" s="1"/>
  <c r="S26" i="1"/>
  <c r="S37" i="1" s="1"/>
  <c r="S48" i="1" s="1"/>
  <c r="R26" i="1"/>
  <c r="R37" i="1" s="1"/>
  <c r="R48" i="1" s="1"/>
  <c r="V28" i="1"/>
  <c r="V39" i="1" s="1"/>
  <c r="V50" i="1" s="1"/>
  <c r="Q28" i="1"/>
  <c r="Q39" i="1" s="1"/>
  <c r="U28" i="1"/>
  <c r="U39" i="1" s="1"/>
  <c r="U50" i="1" s="1"/>
  <c r="P28" i="1"/>
  <c r="P39" i="1" s="1"/>
  <c r="P50" i="1" s="1"/>
  <c r="T28" i="1"/>
  <c r="T39" i="1" s="1"/>
  <c r="T50" i="1" s="1"/>
  <c r="O28" i="1"/>
  <c r="O39" i="1" s="1"/>
  <c r="S28" i="1"/>
  <c r="S39" i="1" s="1"/>
  <c r="S50" i="1" s="1"/>
  <c r="R28" i="1"/>
  <c r="R39" i="1" s="1"/>
  <c r="R50" i="1" s="1"/>
  <c r="Q30" i="1"/>
  <c r="Q41" i="1" s="1"/>
  <c r="Q52" i="1" s="1"/>
  <c r="O30" i="1"/>
  <c r="O41" i="1" s="1"/>
  <c r="R30" i="1"/>
  <c r="R41" i="1" s="1"/>
  <c r="R52" i="1" s="1"/>
  <c r="V30" i="1"/>
  <c r="V41" i="1" s="1"/>
  <c r="V52" i="1" s="1"/>
  <c r="U30" i="1"/>
  <c r="U41" i="1" s="1"/>
  <c r="U52" i="1" s="1"/>
  <c r="S30" i="1"/>
  <c r="S41" i="1" s="1"/>
  <c r="P30" i="1"/>
  <c r="P41" i="1" s="1"/>
  <c r="P52" i="1" s="1"/>
  <c r="T30" i="1"/>
  <c r="T41" i="1" s="1"/>
  <c r="T52" i="1" s="1"/>
  <c r="O32" i="1"/>
  <c r="O43" i="1" s="1"/>
  <c r="Q32" i="1"/>
  <c r="Q43" i="1" s="1"/>
  <c r="Q54" i="1" s="1"/>
  <c r="S32" i="1"/>
  <c r="S43" i="1" s="1"/>
  <c r="S54" i="1" s="1"/>
  <c r="V32" i="1"/>
  <c r="V43" i="1" s="1"/>
  <c r="V54" i="1" s="1"/>
  <c r="R32" i="1"/>
  <c r="R43" i="1" s="1"/>
  <c r="R54" i="1" s="1"/>
  <c r="U32" i="1"/>
  <c r="U43" i="1" s="1"/>
  <c r="P32" i="1"/>
  <c r="P43" i="1" s="1"/>
  <c r="P54" i="1" s="1"/>
  <c r="T32" i="1"/>
  <c r="T43" i="1" s="1"/>
  <c r="T54" i="1" s="1"/>
  <c r="G19" i="1"/>
  <c r="G21" i="1"/>
  <c r="G17" i="1"/>
  <c r="G18" i="1"/>
  <c r="G22" i="1"/>
  <c r="G15" i="1"/>
  <c r="G16" i="1"/>
  <c r="G20" i="1"/>
  <c r="I19" i="1"/>
  <c r="I16" i="1"/>
  <c r="I18" i="1"/>
  <c r="I20" i="1"/>
  <c r="I22" i="1"/>
  <c r="I15" i="1"/>
  <c r="I17" i="1"/>
  <c r="I21" i="1"/>
  <c r="H44" i="1"/>
  <c r="H38" i="1"/>
  <c r="H40" i="1"/>
  <c r="H37" i="1"/>
  <c r="H39" i="1"/>
  <c r="H41" i="1"/>
  <c r="H42" i="1"/>
  <c r="H43" i="1"/>
  <c r="K16" i="1"/>
  <c r="K20" i="1"/>
  <c r="K15" i="1"/>
  <c r="K17" i="1"/>
  <c r="K21" i="1"/>
  <c r="K18" i="1"/>
  <c r="K22" i="1"/>
  <c r="K19" i="1"/>
  <c r="J21" i="1"/>
  <c r="J17" i="1"/>
  <c r="J16" i="1"/>
  <c r="J20" i="1"/>
  <c r="J15" i="1"/>
  <c r="J19" i="1"/>
  <c r="J18" i="1"/>
  <c r="J22" i="1"/>
  <c r="D22" i="1"/>
  <c r="D20" i="1"/>
  <c r="D18" i="1"/>
  <c r="D16" i="1"/>
  <c r="D17" i="1"/>
  <c r="D21" i="1"/>
  <c r="D15" i="1"/>
  <c r="D19" i="1"/>
  <c r="H22" i="1"/>
  <c r="H20" i="1"/>
  <c r="H18" i="1"/>
  <c r="H16" i="1"/>
  <c r="H15" i="1"/>
  <c r="H19" i="1"/>
  <c r="H17" i="1"/>
  <c r="H21" i="1"/>
  <c r="D44" i="1"/>
  <c r="D38" i="1"/>
  <c r="D40" i="1"/>
  <c r="D37" i="1"/>
  <c r="D39" i="1"/>
  <c r="D41" i="1"/>
  <c r="D42" i="1"/>
  <c r="D43" i="1"/>
  <c r="D55" i="1"/>
  <c r="D48" i="1"/>
  <c r="D49" i="1"/>
  <c r="D50" i="1"/>
  <c r="D51" i="1"/>
  <c r="D52" i="1"/>
  <c r="D53" i="1"/>
  <c r="D54" i="1"/>
  <c r="D27" i="1"/>
  <c r="D29" i="1"/>
  <c r="D30" i="1"/>
  <c r="D26" i="1"/>
  <c r="D28" i="1"/>
  <c r="D31" i="1"/>
  <c r="D32" i="1"/>
  <c r="D33" i="1"/>
  <c r="F26" i="1"/>
  <c r="F27" i="1"/>
  <c r="F28" i="1"/>
  <c r="F31" i="1"/>
  <c r="F32" i="1"/>
  <c r="F33" i="1"/>
  <c r="F29" i="1"/>
  <c r="F30" i="1"/>
  <c r="F44" i="1"/>
  <c r="F37" i="1"/>
  <c r="F39" i="1"/>
  <c r="F41" i="1"/>
  <c r="F42" i="1"/>
  <c r="F43" i="1"/>
  <c r="F38" i="1"/>
  <c r="F40" i="1"/>
  <c r="F55" i="1"/>
  <c r="F48" i="1"/>
  <c r="F49" i="1"/>
  <c r="F50" i="1"/>
  <c r="F51" i="1"/>
  <c r="F52" i="1"/>
  <c r="F53" i="1"/>
  <c r="F54" i="1"/>
  <c r="E31" i="1"/>
  <c r="E26" i="1"/>
  <c r="E27" i="1"/>
  <c r="E28" i="1"/>
  <c r="E29" i="1"/>
  <c r="E30" i="1"/>
  <c r="E32" i="1"/>
  <c r="E33" i="1"/>
  <c r="I31" i="1"/>
  <c r="I26" i="1"/>
  <c r="I27" i="1"/>
  <c r="I28" i="1"/>
  <c r="I29" i="1"/>
  <c r="I30" i="1"/>
  <c r="I32" i="1"/>
  <c r="I33" i="1"/>
  <c r="E42" i="1"/>
  <c r="E44" i="1"/>
  <c r="E37" i="1"/>
  <c r="E38" i="1"/>
  <c r="E39" i="1"/>
  <c r="E40" i="1"/>
  <c r="E41" i="1"/>
  <c r="E43" i="1"/>
  <c r="I42" i="1"/>
  <c r="I44" i="1"/>
  <c r="I37" i="1"/>
  <c r="I38" i="1"/>
  <c r="I39" i="1"/>
  <c r="I40" i="1"/>
  <c r="I41" i="1"/>
  <c r="I43" i="1"/>
  <c r="E49" i="1"/>
  <c r="E51" i="1"/>
  <c r="E53" i="1"/>
  <c r="E55" i="1"/>
  <c r="E48" i="1"/>
  <c r="E50" i="1"/>
  <c r="E52" i="1"/>
  <c r="E54" i="1"/>
  <c r="I49" i="1"/>
  <c r="I51" i="1"/>
  <c r="I53" i="1"/>
  <c r="I55" i="1"/>
  <c r="I48" i="1"/>
  <c r="I50" i="1"/>
  <c r="I52" i="1"/>
  <c r="I54" i="1"/>
  <c r="E62" i="1"/>
  <c r="E60" i="1"/>
  <c r="E61" i="1"/>
  <c r="E64" i="1"/>
  <c r="E66" i="1"/>
  <c r="E59" i="1"/>
  <c r="E63" i="1"/>
  <c r="E65" i="1"/>
  <c r="I62" i="1"/>
  <c r="I61" i="1"/>
  <c r="I60" i="1"/>
  <c r="I64" i="1"/>
  <c r="I66" i="1"/>
  <c r="I59" i="1"/>
  <c r="I63" i="1"/>
  <c r="I65" i="1"/>
  <c r="E71" i="1"/>
  <c r="E73" i="1"/>
  <c r="E75" i="1"/>
  <c r="E77" i="1"/>
  <c r="E70" i="1"/>
  <c r="E72" i="1"/>
  <c r="E74" i="1"/>
  <c r="E76" i="1"/>
  <c r="I71" i="1"/>
  <c r="I73" i="1"/>
  <c r="I75" i="1"/>
  <c r="I77" i="1"/>
  <c r="I70" i="1"/>
  <c r="I72" i="1"/>
  <c r="I74" i="1"/>
  <c r="I76" i="1"/>
  <c r="E82" i="1"/>
  <c r="E84" i="1"/>
  <c r="E86" i="1"/>
  <c r="E88" i="1"/>
  <c r="E81" i="1"/>
  <c r="E83" i="1"/>
  <c r="E85" i="1"/>
  <c r="E87" i="1"/>
  <c r="I82" i="1"/>
  <c r="I84" i="1"/>
  <c r="I86" i="1"/>
  <c r="I88" i="1"/>
  <c r="I81" i="1"/>
  <c r="I83" i="1"/>
  <c r="I85" i="1"/>
  <c r="I87" i="1"/>
  <c r="E96" i="1"/>
  <c r="E93" i="1"/>
  <c r="E95" i="1"/>
  <c r="E97" i="1"/>
  <c r="E99" i="1"/>
  <c r="E92" i="1"/>
  <c r="E94" i="1"/>
  <c r="E98" i="1"/>
  <c r="I92" i="1"/>
  <c r="I94" i="1"/>
  <c r="I98" i="1"/>
  <c r="I93" i="1"/>
  <c r="I95" i="1"/>
  <c r="I97" i="1"/>
  <c r="I99" i="1"/>
  <c r="I96" i="1"/>
  <c r="D59" i="1"/>
  <c r="D61" i="1"/>
  <c r="D63" i="1"/>
  <c r="D65" i="1"/>
  <c r="D60" i="1"/>
  <c r="D62" i="1"/>
  <c r="D64" i="1"/>
  <c r="D66" i="1"/>
  <c r="H65" i="1"/>
  <c r="H59" i="1"/>
  <c r="H61" i="1"/>
  <c r="H63" i="1"/>
  <c r="H60" i="1"/>
  <c r="H62" i="1"/>
  <c r="H64" i="1"/>
  <c r="H66" i="1"/>
  <c r="D76" i="1"/>
  <c r="D70" i="1"/>
  <c r="D72" i="1"/>
  <c r="D74" i="1"/>
  <c r="D71" i="1"/>
  <c r="D73" i="1"/>
  <c r="D75" i="1"/>
  <c r="D77" i="1"/>
  <c r="H76" i="1"/>
  <c r="H70" i="1"/>
  <c r="H74" i="1"/>
  <c r="H72" i="1"/>
  <c r="H71" i="1"/>
  <c r="H73" i="1"/>
  <c r="H75" i="1"/>
  <c r="H77" i="1"/>
  <c r="D87" i="1"/>
  <c r="D81" i="1"/>
  <c r="D83" i="1"/>
  <c r="D82" i="1"/>
  <c r="D84" i="1"/>
  <c r="D86" i="1"/>
  <c r="D88" i="1"/>
  <c r="D85" i="1"/>
  <c r="H87" i="1"/>
  <c r="H83" i="1"/>
  <c r="H81" i="1"/>
  <c r="H82" i="1"/>
  <c r="H84" i="1"/>
  <c r="H86" i="1"/>
  <c r="H88" i="1"/>
  <c r="H85" i="1"/>
  <c r="D98" i="1"/>
  <c r="D92" i="1"/>
  <c r="D93" i="1"/>
  <c r="D95" i="1"/>
  <c r="D97" i="1"/>
  <c r="D99" i="1"/>
  <c r="D94" i="1"/>
  <c r="D96" i="1"/>
  <c r="H98" i="1"/>
  <c r="H94" i="1"/>
  <c r="H92" i="1"/>
  <c r="H93" i="1"/>
  <c r="H95" i="1"/>
  <c r="H97" i="1"/>
  <c r="H99" i="1"/>
  <c r="H96" i="1"/>
  <c r="F18" i="1"/>
  <c r="F22" i="1"/>
  <c r="F15" i="1"/>
  <c r="F17" i="1"/>
  <c r="F19" i="1"/>
  <c r="F21" i="1"/>
  <c r="F16" i="1"/>
  <c r="F20" i="1"/>
  <c r="E15" i="1"/>
  <c r="E17" i="1"/>
  <c r="E16" i="1"/>
  <c r="E18" i="1"/>
  <c r="E20" i="1"/>
  <c r="E22" i="1"/>
  <c r="E19" i="1"/>
  <c r="E21" i="1"/>
  <c r="H55" i="1"/>
  <c r="H48" i="1"/>
  <c r="H49" i="1"/>
  <c r="H50" i="1"/>
  <c r="H51" i="1"/>
  <c r="H52" i="1"/>
  <c r="H53" i="1"/>
  <c r="H54" i="1"/>
  <c r="H26" i="1"/>
  <c r="H28" i="1"/>
  <c r="H29" i="1"/>
  <c r="H30" i="1"/>
  <c r="H27" i="1"/>
  <c r="H31" i="1"/>
  <c r="H32" i="1"/>
  <c r="H33" i="1"/>
  <c r="J28" i="1"/>
  <c r="J27" i="1"/>
  <c r="J30" i="1"/>
  <c r="J26" i="1"/>
  <c r="J29" i="1"/>
  <c r="J31" i="1"/>
  <c r="J33" i="1"/>
  <c r="J32" i="1"/>
  <c r="J44" i="1"/>
  <c r="J39" i="1"/>
  <c r="J38" i="1"/>
  <c r="J37" i="1"/>
  <c r="J40" i="1"/>
  <c r="J41" i="1"/>
  <c r="J42" i="1"/>
  <c r="J43" i="1"/>
  <c r="J55" i="1"/>
  <c r="J48" i="1"/>
  <c r="J49" i="1"/>
  <c r="J50" i="1"/>
  <c r="J51" i="1"/>
  <c r="J52" i="1"/>
  <c r="J53" i="1"/>
  <c r="J54" i="1"/>
  <c r="G30" i="1"/>
  <c r="G26" i="1"/>
  <c r="G27" i="1"/>
  <c r="G28" i="1"/>
  <c r="G29" i="1"/>
  <c r="G31" i="1"/>
  <c r="G32" i="1"/>
  <c r="G33" i="1"/>
  <c r="K26" i="1"/>
  <c r="K27" i="1"/>
  <c r="K28" i="1"/>
  <c r="K29" i="1"/>
  <c r="K32" i="1"/>
  <c r="K33" i="1"/>
  <c r="K30" i="1"/>
  <c r="K31" i="1"/>
  <c r="G37" i="1"/>
  <c r="G38" i="1"/>
  <c r="G39" i="1"/>
  <c r="G40" i="1"/>
  <c r="G41" i="1"/>
  <c r="G43" i="1"/>
  <c r="G42" i="1"/>
  <c r="G44" i="1"/>
  <c r="K43" i="1"/>
  <c r="K42" i="1"/>
  <c r="K41" i="1"/>
  <c r="K44" i="1"/>
  <c r="K37" i="1"/>
  <c r="K38" i="1"/>
  <c r="K39" i="1"/>
  <c r="K40" i="1"/>
  <c r="G48" i="1"/>
  <c r="G50" i="1"/>
  <c r="G52" i="1"/>
  <c r="G54" i="1"/>
  <c r="G49" i="1"/>
  <c r="G51" i="1"/>
  <c r="G53" i="1"/>
  <c r="G55" i="1"/>
  <c r="K49" i="1"/>
  <c r="K53" i="1"/>
  <c r="K48" i="1"/>
  <c r="K54" i="1"/>
  <c r="K50" i="1"/>
  <c r="K51" i="1"/>
  <c r="K55" i="1"/>
  <c r="K52" i="1"/>
  <c r="G64" i="1"/>
  <c r="G66" i="1"/>
  <c r="G59" i="1"/>
  <c r="G63" i="1"/>
  <c r="G65" i="1"/>
  <c r="G60" i="1"/>
  <c r="G62" i="1"/>
  <c r="G61" i="1"/>
  <c r="K60" i="1"/>
  <c r="K62" i="1"/>
  <c r="K61" i="1"/>
  <c r="K65" i="1"/>
  <c r="K64" i="1"/>
  <c r="K66" i="1"/>
  <c r="K59" i="1"/>
  <c r="K63" i="1"/>
  <c r="G71" i="1"/>
  <c r="G73" i="1"/>
  <c r="G75" i="1"/>
  <c r="G77" i="1"/>
  <c r="G70" i="1"/>
  <c r="G72" i="1"/>
  <c r="G74" i="1"/>
  <c r="G76" i="1"/>
  <c r="K72" i="1"/>
  <c r="K76" i="1"/>
  <c r="K70" i="1"/>
  <c r="K74" i="1"/>
  <c r="K71" i="1"/>
  <c r="K73" i="1"/>
  <c r="K75" i="1"/>
  <c r="K77" i="1"/>
  <c r="G82" i="1"/>
  <c r="G84" i="1"/>
  <c r="G86" i="1"/>
  <c r="G88" i="1"/>
  <c r="G81" i="1"/>
  <c r="G83" i="1"/>
  <c r="G85" i="1"/>
  <c r="G87" i="1"/>
  <c r="K83" i="1"/>
  <c r="K87" i="1"/>
  <c r="K81" i="1"/>
  <c r="K85" i="1"/>
  <c r="K82" i="1"/>
  <c r="K84" i="1"/>
  <c r="K86" i="1"/>
  <c r="K88" i="1"/>
  <c r="G93" i="1"/>
  <c r="G95" i="1"/>
  <c r="G97" i="1"/>
  <c r="G99" i="1"/>
  <c r="G92" i="1"/>
  <c r="G94" i="1"/>
  <c r="G96" i="1"/>
  <c r="G98" i="1"/>
  <c r="K94" i="1"/>
  <c r="K96" i="1"/>
  <c r="K92" i="1"/>
  <c r="K98" i="1"/>
  <c r="K93" i="1"/>
  <c r="K95" i="1"/>
  <c r="K97" i="1"/>
  <c r="K99" i="1"/>
  <c r="F61" i="1"/>
  <c r="F65" i="1"/>
  <c r="F59" i="1"/>
  <c r="F63" i="1"/>
  <c r="F60" i="1"/>
  <c r="F62" i="1"/>
  <c r="F64" i="1"/>
  <c r="F66" i="1"/>
  <c r="J59" i="1"/>
  <c r="J63" i="1"/>
  <c r="J64" i="1"/>
  <c r="J61" i="1"/>
  <c r="J65" i="1"/>
  <c r="J66" i="1"/>
  <c r="J60" i="1"/>
  <c r="J62" i="1"/>
  <c r="F76" i="1"/>
  <c r="F70" i="1"/>
  <c r="F74" i="1"/>
  <c r="F72" i="1"/>
  <c r="F71" i="1"/>
  <c r="F73" i="1"/>
  <c r="F75" i="1"/>
  <c r="F77" i="1"/>
  <c r="J76" i="1"/>
  <c r="J77" i="1"/>
  <c r="J72" i="1"/>
  <c r="J71" i="1"/>
  <c r="J73" i="1"/>
  <c r="J75" i="1"/>
  <c r="J70" i="1"/>
  <c r="J74" i="1"/>
  <c r="F87" i="1"/>
  <c r="F81" i="1"/>
  <c r="F83" i="1"/>
  <c r="F85" i="1"/>
  <c r="F82" i="1"/>
  <c r="F84" i="1"/>
  <c r="F86" i="1"/>
  <c r="F88" i="1"/>
  <c r="J87" i="1"/>
  <c r="J82" i="1"/>
  <c r="J84" i="1"/>
  <c r="J88" i="1"/>
  <c r="J83" i="1"/>
  <c r="J86" i="1"/>
  <c r="J81" i="1"/>
  <c r="J85" i="1"/>
  <c r="F98" i="1"/>
  <c r="F92" i="1"/>
  <c r="F94" i="1"/>
  <c r="F96" i="1"/>
  <c r="F97" i="1"/>
  <c r="F93" i="1"/>
  <c r="F95" i="1"/>
  <c r="F99" i="1"/>
  <c r="J98" i="1"/>
  <c r="J93" i="1"/>
  <c r="J97" i="1"/>
  <c r="J95" i="1"/>
  <c r="J99" i="1"/>
  <c r="J92" i="1"/>
  <c r="J94" i="1"/>
  <c r="J96" i="1"/>
  <c r="L2" i="1"/>
  <c r="U54" i="1" l="1"/>
  <c r="Y43" i="1"/>
  <c r="AA43" i="1" s="1"/>
  <c r="Y41" i="1"/>
  <c r="AA41" i="1" s="1"/>
  <c r="S52" i="1"/>
  <c r="X41" i="1"/>
  <c r="Z41" i="1" s="1"/>
  <c r="AB41" i="1" s="1"/>
  <c r="O52" i="1"/>
  <c r="W52" i="1" s="1"/>
  <c r="O50" i="1"/>
  <c r="X39" i="1"/>
  <c r="Q50" i="1"/>
  <c r="Q56" i="1" s="1"/>
  <c r="Y39" i="1"/>
  <c r="AA39" i="1" s="1"/>
  <c r="X37" i="1"/>
  <c r="O48" i="1"/>
  <c r="Y37" i="1"/>
  <c r="AA37" i="1" s="1"/>
  <c r="O55" i="1"/>
  <c r="X44" i="1"/>
  <c r="Y40" i="1"/>
  <c r="AA40" i="1" s="1"/>
  <c r="R51" i="1"/>
  <c r="R56" i="1" s="1"/>
  <c r="X43" i="1"/>
  <c r="Z43" i="1" s="1"/>
  <c r="AB43" i="1" s="1"/>
  <c r="O54" i="1"/>
  <c r="S56" i="1"/>
  <c r="U56" i="1"/>
  <c r="V55" i="1"/>
  <c r="V56" i="1" s="1"/>
  <c r="Y44" i="1"/>
  <c r="AA44" i="1" s="1"/>
  <c r="Y42" i="1"/>
  <c r="AA42" i="1" s="1"/>
  <c r="T53" i="1"/>
  <c r="T56" i="1" s="1"/>
  <c r="X42" i="1"/>
  <c r="Z42" i="1" s="1"/>
  <c r="AB42" i="1" s="1"/>
  <c r="O53" i="1"/>
  <c r="W53" i="1" s="1"/>
  <c r="O51" i="1"/>
  <c r="X40" i="1"/>
  <c r="Y38" i="1"/>
  <c r="AA38" i="1" s="1"/>
  <c r="P49" i="1"/>
  <c r="P56" i="1" s="1"/>
  <c r="O49" i="1"/>
  <c r="X38" i="1"/>
  <c r="H106" i="1"/>
  <c r="H118" i="1" s="1"/>
  <c r="E107" i="1"/>
  <c r="E119" i="1" s="1"/>
  <c r="E109" i="1"/>
  <c r="E121" i="1" s="1"/>
  <c r="E110" i="1"/>
  <c r="E122" i="1" s="1"/>
  <c r="E147" i="1" s="1"/>
  <c r="E106" i="1"/>
  <c r="E118" i="1" s="1"/>
  <c r="E105" i="1"/>
  <c r="E117" i="1" s="1"/>
  <c r="H104" i="1"/>
  <c r="H116" i="1" s="1"/>
  <c r="E108" i="1"/>
  <c r="E120" i="1" s="1"/>
  <c r="E104" i="1"/>
  <c r="E116" i="1" s="1"/>
  <c r="E141" i="1" s="1"/>
  <c r="H110" i="1"/>
  <c r="H122" i="1" s="1"/>
  <c r="H134" i="1" s="1"/>
  <c r="H108" i="1"/>
  <c r="H120" i="1" s="1"/>
  <c r="K108" i="1"/>
  <c r="K120" i="1" s="1"/>
  <c r="K110" i="1"/>
  <c r="K122" i="1" s="1"/>
  <c r="K106" i="1"/>
  <c r="K118" i="1" s="1"/>
  <c r="K104" i="1"/>
  <c r="K116" i="1" s="1"/>
  <c r="J105" i="1"/>
  <c r="J117" i="1" s="1"/>
  <c r="J103" i="1"/>
  <c r="J109" i="1"/>
  <c r="J121" i="1" s="1"/>
  <c r="J108" i="1"/>
  <c r="J120" i="1" s="1"/>
  <c r="F109" i="1"/>
  <c r="F121" i="1" s="1"/>
  <c r="F105" i="1"/>
  <c r="F117" i="1" s="1"/>
  <c r="F129" i="1" s="1"/>
  <c r="F110" i="1"/>
  <c r="F122" i="1" s="1"/>
  <c r="F108" i="1"/>
  <c r="F120" i="1" s="1"/>
  <c r="F104" i="1"/>
  <c r="F116" i="1" s="1"/>
  <c r="D110" i="1"/>
  <c r="D108" i="1"/>
  <c r="D106" i="1"/>
  <c r="H109" i="1"/>
  <c r="H121" i="1" s="1"/>
  <c r="H107" i="1"/>
  <c r="H119" i="1" s="1"/>
  <c r="H131" i="1" s="1"/>
  <c r="D107" i="1"/>
  <c r="D109" i="1"/>
  <c r="K107" i="1"/>
  <c r="K119" i="1" s="1"/>
  <c r="K105" i="1"/>
  <c r="K117" i="1" s="1"/>
  <c r="I109" i="1"/>
  <c r="I121" i="1" s="1"/>
  <c r="I103" i="1"/>
  <c r="I108" i="1"/>
  <c r="I120" i="1" s="1"/>
  <c r="I132" i="1" s="1"/>
  <c r="I104" i="1"/>
  <c r="I116" i="1" s="1"/>
  <c r="G108" i="1"/>
  <c r="G120" i="1" s="1"/>
  <c r="G103" i="1"/>
  <c r="G106" i="1"/>
  <c r="G118" i="1" s="1"/>
  <c r="G130" i="1" s="1"/>
  <c r="G109" i="1"/>
  <c r="G121" i="1" s="1"/>
  <c r="J106" i="1"/>
  <c r="J118" i="1" s="1"/>
  <c r="J104" i="1"/>
  <c r="J116" i="1" s="1"/>
  <c r="J110" i="1"/>
  <c r="J122" i="1" s="1"/>
  <c r="J107" i="1"/>
  <c r="J119" i="1" s="1"/>
  <c r="E103" i="1"/>
  <c r="F107" i="1"/>
  <c r="F119" i="1" s="1"/>
  <c r="F103" i="1"/>
  <c r="F106" i="1"/>
  <c r="F118" i="1" s="1"/>
  <c r="D104" i="1"/>
  <c r="H105" i="1"/>
  <c r="H117" i="1" s="1"/>
  <c r="H103" i="1"/>
  <c r="D103" i="1"/>
  <c r="D105" i="1"/>
  <c r="K109" i="1"/>
  <c r="K121" i="1" s="1"/>
  <c r="K103" i="1"/>
  <c r="I105" i="1"/>
  <c r="I117" i="1" s="1"/>
  <c r="I110" i="1"/>
  <c r="I122" i="1" s="1"/>
  <c r="I106" i="1"/>
  <c r="I118" i="1" s="1"/>
  <c r="I107" i="1"/>
  <c r="I119" i="1" s="1"/>
  <c r="G104" i="1"/>
  <c r="G116" i="1" s="1"/>
  <c r="G110" i="1"/>
  <c r="G122" i="1" s="1"/>
  <c r="G105" i="1"/>
  <c r="G117" i="1" s="1"/>
  <c r="G107" i="1"/>
  <c r="G119" i="1" s="1"/>
  <c r="I141" i="1" l="1"/>
  <c r="I128" i="1"/>
  <c r="H147" i="1"/>
  <c r="W54" i="1"/>
  <c r="F145" i="1"/>
  <c r="F132" i="1"/>
  <c r="F144" i="1"/>
  <c r="F131" i="1"/>
  <c r="E145" i="1"/>
  <c r="E132" i="1"/>
  <c r="E144" i="1"/>
  <c r="E131" i="1"/>
  <c r="I142" i="1"/>
  <c r="I129" i="1"/>
  <c r="H142" i="1"/>
  <c r="H129" i="1"/>
  <c r="H141" i="1"/>
  <c r="H128" i="1"/>
  <c r="G145" i="1"/>
  <c r="G132" i="1"/>
  <c r="I143" i="1"/>
  <c r="I130" i="1"/>
  <c r="J143" i="1"/>
  <c r="J130" i="1"/>
  <c r="J142" i="1"/>
  <c r="J129" i="1"/>
  <c r="J141" i="1"/>
  <c r="J128" i="1"/>
  <c r="G146" i="1"/>
  <c r="G133" i="1"/>
  <c r="F146" i="1"/>
  <c r="F133" i="1"/>
  <c r="E146" i="1"/>
  <c r="E133" i="1"/>
  <c r="H146" i="1"/>
  <c r="H133" i="1"/>
  <c r="I146" i="1"/>
  <c r="I133" i="1"/>
  <c r="J145" i="1"/>
  <c r="J132" i="1"/>
  <c r="H145" i="1"/>
  <c r="H132" i="1"/>
  <c r="J144" i="1"/>
  <c r="J131" i="1"/>
  <c r="I144" i="1"/>
  <c r="I131" i="1"/>
  <c r="H143" i="1"/>
  <c r="H130" i="1"/>
  <c r="G144" i="1"/>
  <c r="G131" i="1"/>
  <c r="G142" i="1"/>
  <c r="G129" i="1"/>
  <c r="F143" i="1"/>
  <c r="F130" i="1"/>
  <c r="E143" i="1"/>
  <c r="E130" i="1"/>
  <c r="E142" i="1"/>
  <c r="E129" i="1"/>
  <c r="G141" i="1"/>
  <c r="G128" i="1"/>
  <c r="F141" i="1"/>
  <c r="F128" i="1"/>
  <c r="W51" i="1"/>
  <c r="Y116" i="1"/>
  <c r="AA116" i="1" s="1"/>
  <c r="E128" i="1"/>
  <c r="Z38" i="1"/>
  <c r="AB38" i="1" s="1"/>
  <c r="Z40" i="1"/>
  <c r="AB40" i="1" s="1"/>
  <c r="W55" i="1"/>
  <c r="Y45" i="1"/>
  <c r="AA45" i="1"/>
  <c r="Z37" i="1"/>
  <c r="AB37" i="1" s="1"/>
  <c r="X45" i="1"/>
  <c r="Z39" i="1"/>
  <c r="AB39" i="1" s="1"/>
  <c r="W49" i="1"/>
  <c r="Z44" i="1"/>
  <c r="AB44" i="1" s="1"/>
  <c r="O56" i="1"/>
  <c r="W56" i="1" s="1"/>
  <c r="X57" i="1" s="1"/>
  <c r="X58" i="1" s="1"/>
  <c r="W48" i="1"/>
  <c r="W50" i="1"/>
  <c r="E134" i="1"/>
  <c r="G134" i="1"/>
  <c r="G147" i="1"/>
  <c r="I134" i="1"/>
  <c r="I147" i="1"/>
  <c r="K111" i="1"/>
  <c r="K115" i="1"/>
  <c r="D117" i="1"/>
  <c r="L105" i="1"/>
  <c r="H115" i="1"/>
  <c r="H111" i="1"/>
  <c r="D116" i="1"/>
  <c r="L104" i="1"/>
  <c r="F111" i="1"/>
  <c r="F115" i="1"/>
  <c r="E115" i="1"/>
  <c r="E111" i="1"/>
  <c r="G115" i="1"/>
  <c r="G111" i="1"/>
  <c r="I111" i="1"/>
  <c r="I115" i="1"/>
  <c r="K129" i="1"/>
  <c r="K142" i="1"/>
  <c r="L109" i="1"/>
  <c r="D121" i="1"/>
  <c r="H144" i="1"/>
  <c r="O118" i="1"/>
  <c r="R118" i="1" s="1"/>
  <c r="Y119" i="1"/>
  <c r="AA119" i="1" s="1"/>
  <c r="D118" i="1"/>
  <c r="L106" i="1"/>
  <c r="D122" i="1"/>
  <c r="L110" i="1"/>
  <c r="F142" i="1"/>
  <c r="O121" i="1"/>
  <c r="R121" i="1" s="1"/>
  <c r="Y117" i="1"/>
  <c r="AA117" i="1" s="1"/>
  <c r="J115" i="1"/>
  <c r="J111" i="1"/>
  <c r="K128" i="1"/>
  <c r="K141" i="1"/>
  <c r="K147" i="1"/>
  <c r="Y122" i="1"/>
  <c r="AA122" i="1" s="1"/>
  <c r="K134" i="1"/>
  <c r="K133" i="1"/>
  <c r="K146" i="1"/>
  <c r="D111" i="1"/>
  <c r="D115" i="1"/>
  <c r="L103" i="1"/>
  <c r="O124" i="1"/>
  <c r="R124" i="1" s="1"/>
  <c r="J147" i="1"/>
  <c r="J134" i="1"/>
  <c r="G143" i="1"/>
  <c r="Y118" i="1"/>
  <c r="AA118" i="1" s="1"/>
  <c r="Y120" i="1"/>
  <c r="AA120" i="1" s="1"/>
  <c r="I145" i="1"/>
  <c r="K144" i="1"/>
  <c r="K131" i="1"/>
  <c r="D119" i="1"/>
  <c r="L107" i="1"/>
  <c r="D120" i="1"/>
  <c r="L108" i="1"/>
  <c r="F134" i="1"/>
  <c r="F147" i="1"/>
  <c r="J146" i="1"/>
  <c r="Y121" i="1"/>
  <c r="AA121" i="1" s="1"/>
  <c r="J133" i="1"/>
  <c r="K130" i="1"/>
  <c r="K143" i="1"/>
  <c r="K132" i="1"/>
  <c r="K145" i="1"/>
  <c r="Z45" i="1" l="1"/>
  <c r="AB45" i="1"/>
  <c r="AB46" i="1" s="1"/>
  <c r="L111" i="1"/>
  <c r="D134" i="1"/>
  <c r="L134" i="1" s="1"/>
  <c r="L122" i="1"/>
  <c r="X122" i="1" s="1"/>
  <c r="Z122" i="1" s="1"/>
  <c r="AB122" i="1" s="1"/>
  <c r="D147" i="1"/>
  <c r="L147" i="1" s="1"/>
  <c r="D143" i="1"/>
  <c r="L143" i="1" s="1"/>
  <c r="D130" i="1"/>
  <c r="L130" i="1" s="1"/>
  <c r="L118" i="1"/>
  <c r="X118" i="1" s="1"/>
  <c r="Z118" i="1" s="1"/>
  <c r="AB118" i="1" s="1"/>
  <c r="D133" i="1"/>
  <c r="L133" i="1" s="1"/>
  <c r="D146" i="1"/>
  <c r="L146" i="1" s="1"/>
  <c r="L121" i="1"/>
  <c r="X121" i="1" s="1"/>
  <c r="Z121" i="1" s="1"/>
  <c r="AB121" i="1" s="1"/>
  <c r="I140" i="1"/>
  <c r="I148" i="1" s="1"/>
  <c r="I127" i="1"/>
  <c r="I135" i="1" s="1"/>
  <c r="I123" i="1"/>
  <c r="F127" i="1"/>
  <c r="F135" i="1" s="1"/>
  <c r="O120" i="1"/>
  <c r="R120" i="1" s="1"/>
  <c r="F140" i="1"/>
  <c r="F148" i="1" s="1"/>
  <c r="F123" i="1"/>
  <c r="K127" i="1"/>
  <c r="K135" i="1" s="1"/>
  <c r="K123" i="1"/>
  <c r="K140" i="1"/>
  <c r="K148" i="1" s="1"/>
  <c r="D145" i="1"/>
  <c r="L145" i="1" s="1"/>
  <c r="D132" i="1"/>
  <c r="L132" i="1" s="1"/>
  <c r="L120" i="1"/>
  <c r="X120" i="1" s="1"/>
  <c r="Z120" i="1" s="1"/>
  <c r="AB120" i="1" s="1"/>
  <c r="D131" i="1"/>
  <c r="L131" i="1" s="1"/>
  <c r="N118" i="1"/>
  <c r="Q118" i="1" s="1"/>
  <c r="D144" i="1"/>
  <c r="L144" i="1" s="1"/>
  <c r="L119" i="1"/>
  <c r="D127" i="1"/>
  <c r="N123" i="1"/>
  <c r="Q123" i="1" s="1"/>
  <c r="L115" i="1"/>
  <c r="X115" i="1" s="1"/>
  <c r="Y115" i="1"/>
  <c r="D140" i="1"/>
  <c r="D123" i="1"/>
  <c r="N117" i="1"/>
  <c r="Q117" i="1" s="1"/>
  <c r="N120" i="1"/>
  <c r="Q120" i="1" s="1"/>
  <c r="J127" i="1"/>
  <c r="J135" i="1" s="1"/>
  <c r="J140" i="1"/>
  <c r="J148" i="1" s="1"/>
  <c r="J123" i="1"/>
  <c r="G127" i="1"/>
  <c r="G135" i="1" s="1"/>
  <c r="G123" i="1"/>
  <c r="G140" i="1"/>
  <c r="G148" i="1" s="1"/>
  <c r="E127" i="1"/>
  <c r="E135" i="1" s="1"/>
  <c r="O123" i="1"/>
  <c r="R123" i="1" s="1"/>
  <c r="E140" i="1"/>
  <c r="E148" i="1" s="1"/>
  <c r="E123" i="1"/>
  <c r="D141" i="1"/>
  <c r="L141" i="1" s="1"/>
  <c r="L116" i="1"/>
  <c r="D128" i="1"/>
  <c r="L128" i="1" s="1"/>
  <c r="N124" i="1"/>
  <c r="Q124" i="1" s="1"/>
  <c r="H140" i="1"/>
  <c r="H148" i="1" s="1"/>
  <c r="H123" i="1"/>
  <c r="H127" i="1"/>
  <c r="H135" i="1" s="1"/>
  <c r="O117" i="1"/>
  <c r="R117" i="1" s="1"/>
  <c r="D142" i="1"/>
  <c r="L142" i="1" s="1"/>
  <c r="N121" i="1"/>
  <c r="Q121" i="1" s="1"/>
  <c r="D129" i="1"/>
  <c r="L129" i="1" s="1"/>
  <c r="L117" i="1"/>
  <c r="O114" i="1" l="1"/>
  <c r="X117" i="1"/>
  <c r="Z117" i="1" s="1"/>
  <c r="AB117" i="1" s="1"/>
  <c r="S120" i="1"/>
  <c r="T120" i="1" s="1"/>
  <c r="U120" i="1" s="1"/>
  <c r="L123" i="1"/>
  <c r="AA115" i="1"/>
  <c r="AA123" i="1" s="1"/>
  <c r="Y123" i="1"/>
  <c r="S123" i="1"/>
  <c r="T123" i="1" s="1"/>
  <c r="U123" i="1" s="1"/>
  <c r="X119" i="1"/>
  <c r="Z119" i="1" s="1"/>
  <c r="AB119" i="1" s="1"/>
  <c r="O113" i="1"/>
  <c r="X116" i="1"/>
  <c r="Z116" i="1" s="1"/>
  <c r="AB116" i="1" s="1"/>
  <c r="O115" i="1"/>
  <c r="S117" i="1"/>
  <c r="T117" i="1" s="1"/>
  <c r="U117" i="1" s="1"/>
  <c r="D148" i="1"/>
  <c r="L140" i="1"/>
  <c r="L148" i="1" s="1"/>
  <c r="Z115" i="1"/>
  <c r="D135" i="1"/>
  <c r="L127" i="1"/>
  <c r="L135" i="1" s="1"/>
  <c r="N147" i="1" l="1"/>
  <c r="N148" i="1" s="1"/>
  <c r="B3" i="1"/>
  <c r="X123" i="1"/>
  <c r="Z123" i="1"/>
  <c r="AB115" i="1"/>
  <c r="AB123" i="1" s="1"/>
  <c r="AC123" i="1" s="1"/>
  <c r="B4" i="1" l="1"/>
</calcChain>
</file>

<file path=xl/sharedStrings.xml><?xml version="1.0" encoding="utf-8"?>
<sst xmlns="http://schemas.openxmlformats.org/spreadsheetml/2006/main" count="3722" uniqueCount="106">
  <si>
    <t>e1</t>
  </si>
  <si>
    <t>e2</t>
  </si>
  <si>
    <t>e3</t>
  </si>
  <si>
    <t>p111</t>
  </si>
  <si>
    <t>p112</t>
  </si>
  <si>
    <t>p121</t>
  </si>
  <si>
    <t>p122</t>
  </si>
  <si>
    <t>p211</t>
  </si>
  <si>
    <t>p212</t>
  </si>
  <si>
    <t>p221</t>
  </si>
  <si>
    <t>p222</t>
  </si>
  <si>
    <t>CHISQ</t>
  </si>
  <si>
    <t>DATA</t>
  </si>
  <si>
    <t>111</t>
  </si>
  <si>
    <t>112</t>
  </si>
  <si>
    <t>121</t>
  </si>
  <si>
    <t>122</t>
  </si>
  <si>
    <t>211</t>
  </si>
  <si>
    <t>212</t>
  </si>
  <si>
    <t>221</t>
  </si>
  <si>
    <t>222</t>
  </si>
  <si>
    <t>p=</t>
  </si>
  <si>
    <t>ep1=</t>
  </si>
  <si>
    <t>ep2=</t>
  </si>
  <si>
    <t>ep3=</t>
  </si>
  <si>
    <t>theory111</t>
  </si>
  <si>
    <t>theory112</t>
  </si>
  <si>
    <t>theory121</t>
  </si>
  <si>
    <t>theory122</t>
  </si>
  <si>
    <t>theory211</t>
  </si>
  <si>
    <t>theory212</t>
  </si>
  <si>
    <t>theory221</t>
  </si>
  <si>
    <t>theory222</t>
  </si>
  <si>
    <t>pred_probs</t>
  </si>
  <si>
    <t>pred_freqs</t>
  </si>
  <si>
    <t>G-terms</t>
  </si>
  <si>
    <t>P(1)</t>
  </si>
  <si>
    <t>P(2)</t>
  </si>
  <si>
    <t>P(3)</t>
  </si>
  <si>
    <t>item 1</t>
  </si>
  <si>
    <t>item 2</t>
  </si>
  <si>
    <t>item 3</t>
  </si>
  <si>
    <t>P-LEVEL</t>
  </si>
  <si>
    <t>sig</t>
  </si>
  <si>
    <t>CHISQ TERMS</t>
  </si>
  <si>
    <t>PREDS</t>
  </si>
  <si>
    <t>Total</t>
  </si>
  <si>
    <t>FIRST</t>
  </si>
  <si>
    <t>BOTH</t>
  </si>
  <si>
    <t>FIRST-NOT Both</t>
  </si>
  <si>
    <t>CHI-TERMS</t>
  </si>
  <si>
    <t>CHISQUARE</t>
  </si>
  <si>
    <t>CHISQ terms</t>
  </si>
  <si>
    <t>G-SQUARE</t>
  </si>
  <si>
    <t>Predictions</t>
  </si>
  <si>
    <t>INDEPENDENCE TESTS</t>
  </si>
  <si>
    <t>PREDS OF INDEP</t>
  </si>
  <si>
    <t>TESTING INDEPENDENCE</t>
  </si>
  <si>
    <t>TESTS OF TE MODELS</t>
  </si>
  <si>
    <t>SUMS</t>
  </si>
  <si>
    <t>FIT OF TE MODELS</t>
  </si>
  <si>
    <t>p-value for test with 53 df</t>
  </si>
  <si>
    <t>PREDICTIONS BASED ON INDEPENDENCE ARE BELOW</t>
  </si>
  <si>
    <t>PREDICTIONS BASED ON INDEPENDENCE</t>
  </si>
  <si>
    <t>CHISQUARE TEST OF INDEP</t>
  </si>
  <si>
    <t>SIG LEVEL</t>
  </si>
  <si>
    <t>FIRST-not both</t>
  </si>
  <si>
    <t>Tests of Independence</t>
  </si>
  <si>
    <t xml:space="preserve">CHISQ </t>
  </si>
  <si>
    <t>DF=15 - 3</t>
  </si>
  <si>
    <t>CHISQUARE TERMS TESTING INDEPENDENCE</t>
  </si>
  <si>
    <t>000</t>
  </si>
  <si>
    <t>001</t>
  </si>
  <si>
    <t>010</t>
  </si>
  <si>
    <t>011</t>
  </si>
  <si>
    <t>100</t>
  </si>
  <si>
    <t>101</t>
  </si>
  <si>
    <t>110</t>
  </si>
  <si>
    <t>CHI-Square</t>
  </si>
  <si>
    <t>Chi-Square</t>
  </si>
  <si>
    <t>The live equations are in the page labeled "calcs"</t>
  </si>
  <si>
    <t>One can choose various indices to fit using the Solver.  The indices of fit are colored in various shades of red or pink</t>
  </si>
  <si>
    <t>One can choose various parameters to be free.  The parameters are colored in yellow.</t>
  </si>
  <si>
    <t xml:space="preserve">The data go in D4 to K11.  </t>
  </si>
  <si>
    <t>The TE theory allows a person to be in one of 8 "true" preference patterns during a block.</t>
  </si>
  <si>
    <t>These "true" patterns are labeled 111, 112, 121, 122, 211, 212, 221, and 222</t>
  </si>
  <si>
    <t>The patterns 111 and 222 (aka 000 and 111) are INTRANSITIVE</t>
  </si>
  <si>
    <t>There are two sets of errors possible.  These can be constrained so that e1 = ep1, e2 = ep2, and e3 = ep3.</t>
  </si>
  <si>
    <t>The page is set up so that one can compute either a G-square or Chi-Square on the 8 X 8 data, or one can fit the partitioned data, partitioned as 8 X 2.</t>
  </si>
  <si>
    <t>This workbook contains the equations to calculate the fit of independence, the TE model, and transitivity</t>
  </si>
  <si>
    <t>The marginal choice proportions are the estimated parameters of the independence model</t>
  </si>
  <si>
    <t>Those constrained values are then fixed to those values.</t>
  </si>
  <si>
    <t>Error probabilities are required to be non-negative and less than 1/2.  They are also assumed to be mutually independent.</t>
  </si>
  <si>
    <t>Any other sheets contain solutions that are pasted as values (not live equations).</t>
  </si>
  <si>
    <t>8 X 2 Partition of Data</t>
  </si>
  <si>
    <t>8 X 2 Partition Predictions</t>
  </si>
  <si>
    <t>Date: 9-23-13</t>
  </si>
  <si>
    <t>These correspond to patterns 000, 001, 010, 011, 100, 101, 110, and 111, respectively, in the Birnbaum JDM paper.</t>
  </si>
  <si>
    <t>All of the models described in the paper have been fit with that assumption (errors different for different choice problems, but error rates are the same for the two versions of the same problems), but the worksheet allows them to be estimated separately.</t>
  </si>
  <si>
    <t xml:space="preserve">Predictions based on the theory of INDEPENDENCE are calculated in all runs; these use marginal proportions to estimate the parameters, as in the standard chi-square test of independence. </t>
  </si>
  <si>
    <t>The special case of the TE model that is transitive would have the parameters for p111 and p222 fixed to zero.</t>
  </si>
  <si>
    <r>
      <rPr>
        <b/>
        <sz val="11"/>
        <color theme="1"/>
        <rFont val="Calibri"/>
        <family val="2"/>
        <scheme val="minor"/>
      </rPr>
      <t>Constrained</t>
    </r>
    <r>
      <rPr>
        <sz val="11"/>
        <color theme="1"/>
        <rFont val="Calibri"/>
        <family val="2"/>
        <scheme val="minor"/>
      </rPr>
      <t xml:space="preserve"> fits are based on the estimates of errors based on the preference reversals between repetitions within block only.</t>
    </r>
  </si>
  <si>
    <r>
      <t xml:space="preserve">When  parameters are free (allow intransitivity), the model is called the </t>
    </r>
    <r>
      <rPr>
        <b/>
        <sz val="11"/>
        <color theme="1"/>
        <rFont val="Calibri"/>
        <family val="2"/>
        <scheme val="minor"/>
      </rPr>
      <t>"general"</t>
    </r>
    <r>
      <rPr>
        <sz val="11"/>
        <color theme="1"/>
        <rFont val="Calibri"/>
        <family val="2"/>
        <scheme val="minor"/>
      </rPr>
      <t xml:space="preserve"> model. </t>
    </r>
  </si>
  <si>
    <t>The 8 parameters for "true" probabilities are  free, but they are required to be non-negative and to sum to 1.</t>
  </si>
  <si>
    <t>The General model thus allows parameters in Cells A2:K2 to be free.</t>
  </si>
  <si>
    <t>The reason to use the 8 X 2 partition occurs when the data are not rich enough to allow analysis of the 8 X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</si>
</sst>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 x14ac:knownFonts="1">
    <font>
      <sz val="11"/>
      <color theme="1"/>
      <name val="Calibri"/>
      <family val="2"/>
      <scheme val="minor"/>
    </font>
    <font>
      <b/>
      <sz val="11"/>
      <color theme="1"/>
      <name val="Calibri"/>
      <family val="2"/>
      <scheme val="minor"/>
    </font>
  </fonts>
  <fills count="14">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5"/>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7">
    <xf numFmtId="0" fontId="0" fillId="0" borderId="0" xfId="0"/>
    <xf numFmtId="0" fontId="0" fillId="3" borderId="0" xfId="0" applyFill="1"/>
    <xf numFmtId="0" fontId="0" fillId="4" borderId="0" xfId="0" applyFill="1"/>
    <xf numFmtId="0" fontId="0" fillId="5" borderId="0" xfId="0" applyFill="1"/>
    <xf numFmtId="164" fontId="0" fillId="0" borderId="0" xfId="0" applyNumberFormat="1"/>
    <xf numFmtId="165" fontId="0" fillId="0" borderId="0" xfId="0" applyNumberFormat="1"/>
    <xf numFmtId="0" fontId="0" fillId="0" borderId="0" xfId="0" applyFill="1"/>
    <xf numFmtId="0" fontId="0" fillId="8" borderId="0" xfId="0" applyFill="1"/>
    <xf numFmtId="2" fontId="0" fillId="0" borderId="0" xfId="0" applyNumberFormat="1"/>
    <xf numFmtId="0" fontId="0" fillId="9" borderId="0" xfId="0" applyFill="1"/>
    <xf numFmtId="0" fontId="0" fillId="10" borderId="0" xfId="0" applyFill="1"/>
    <xf numFmtId="0" fontId="0" fillId="11" borderId="0" xfId="0" applyFill="1"/>
    <xf numFmtId="0" fontId="0" fillId="6" borderId="0" xfId="0" applyFill="1"/>
    <xf numFmtId="165" fontId="0" fillId="3" borderId="0" xfId="0" applyNumberFormat="1" applyFill="1"/>
    <xf numFmtId="2" fontId="0" fillId="3" borderId="0" xfId="0" applyNumberFormat="1" applyFill="1"/>
    <xf numFmtId="2" fontId="0" fillId="8" borderId="0" xfId="0" applyNumberFormat="1" applyFill="1"/>
    <xf numFmtId="2" fontId="0" fillId="11" borderId="0" xfId="0" applyNumberFormat="1" applyFill="1"/>
    <xf numFmtId="0" fontId="1" fillId="8" borderId="0" xfId="0" applyFont="1" applyFill="1"/>
    <xf numFmtId="0" fontId="1" fillId="3" borderId="0" xfId="0" applyFont="1" applyFill="1"/>
    <xf numFmtId="164" fontId="0" fillId="2" borderId="0" xfId="0" applyNumberFormat="1" applyFill="1"/>
    <xf numFmtId="164" fontId="0" fillId="7" borderId="0" xfId="0" applyNumberFormat="1" applyFill="1"/>
    <xf numFmtId="2" fontId="0" fillId="4" borderId="0" xfId="0" applyNumberFormat="1" applyFill="1"/>
    <xf numFmtId="0" fontId="0" fillId="12" borderId="0" xfId="0" applyFill="1"/>
    <xf numFmtId="1" fontId="0" fillId="0" borderId="0" xfId="0" applyNumberFormat="1"/>
    <xf numFmtId="0" fontId="0" fillId="0" borderId="0" xfId="0" quotePrefix="1"/>
    <xf numFmtId="0" fontId="0" fillId="13" borderId="0" xfId="0" applyFill="1"/>
    <xf numFmtId="0" fontId="1" fillId="0" borderId="0" xfId="0" applyFont="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L33" sqref="L33"/>
    </sheetView>
  </sheetViews>
  <sheetFormatPr defaultRowHeight="15" x14ac:dyDescent="0.25"/>
  <sheetData>
    <row r="1" spans="1:7" x14ac:dyDescent="0.25">
      <c r="A1" s="26" t="s">
        <v>89</v>
      </c>
    </row>
    <row r="2" spans="1:7" x14ac:dyDescent="0.25">
      <c r="A2" t="s">
        <v>96</v>
      </c>
    </row>
    <row r="3" spans="1:7" x14ac:dyDescent="0.25">
      <c r="A3" t="s">
        <v>80</v>
      </c>
      <c r="G3" t="s">
        <v>93</v>
      </c>
    </row>
    <row r="5" spans="1:7" x14ac:dyDescent="0.25">
      <c r="A5" t="s">
        <v>81</v>
      </c>
    </row>
    <row r="7" spans="1:7" x14ac:dyDescent="0.25">
      <c r="A7" t="s">
        <v>82</v>
      </c>
    </row>
    <row r="9" spans="1:7" x14ac:dyDescent="0.25">
      <c r="A9" t="s">
        <v>83</v>
      </c>
    </row>
    <row r="11" spans="1:7" x14ac:dyDescent="0.25">
      <c r="A11" t="s">
        <v>84</v>
      </c>
    </row>
    <row r="12" spans="1:7" x14ac:dyDescent="0.25">
      <c r="B12" t="s">
        <v>85</v>
      </c>
    </row>
    <row r="13" spans="1:7" x14ac:dyDescent="0.25">
      <c r="B13" t="s">
        <v>97</v>
      </c>
    </row>
    <row r="14" spans="1:7" x14ac:dyDescent="0.25">
      <c r="B14" t="s">
        <v>86</v>
      </c>
    </row>
    <row r="15" spans="1:7" x14ac:dyDescent="0.25">
      <c r="B15" t="s">
        <v>87</v>
      </c>
    </row>
    <row r="16" spans="1:7" x14ac:dyDescent="0.25">
      <c r="C16" t="s">
        <v>98</v>
      </c>
    </row>
    <row r="18" spans="1:4" x14ac:dyDescent="0.25">
      <c r="A18" t="s">
        <v>88</v>
      </c>
    </row>
    <row r="19" spans="1:4" x14ac:dyDescent="0.25">
      <c r="C19" t="s">
        <v>105</v>
      </c>
    </row>
    <row r="20" spans="1:4" x14ac:dyDescent="0.25">
      <c r="A20" t="s">
        <v>99</v>
      </c>
    </row>
    <row r="21" spans="1:4" x14ac:dyDescent="0.25">
      <c r="D21" t="s">
        <v>90</v>
      </c>
    </row>
    <row r="23" spans="1:4" x14ac:dyDescent="0.25">
      <c r="A23" t="s">
        <v>100</v>
      </c>
    </row>
    <row r="25" spans="1:4" x14ac:dyDescent="0.25">
      <c r="A25" t="s">
        <v>101</v>
      </c>
    </row>
    <row r="26" spans="1:4" x14ac:dyDescent="0.25">
      <c r="B26" t="s">
        <v>91</v>
      </c>
    </row>
    <row r="27" spans="1:4" x14ac:dyDescent="0.25">
      <c r="B27" t="s">
        <v>102</v>
      </c>
    </row>
    <row r="28" spans="1:4" x14ac:dyDescent="0.25">
      <c r="C28" t="s">
        <v>103</v>
      </c>
    </row>
    <row r="29" spans="1:4" x14ac:dyDescent="0.25">
      <c r="C29" t="s">
        <v>92</v>
      </c>
    </row>
    <row r="30" spans="1:4" x14ac:dyDescent="0.25">
      <c r="C30" t="s">
        <v>104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topLeftCell="J1" workbookViewId="0">
      <selection activeCell="F9" sqref="F9"/>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0.22991189101280485</v>
      </c>
      <c r="B2" s="19">
        <v>0.22991194941377727</v>
      </c>
      <c r="C2" s="19">
        <v>0.22991208417227349</v>
      </c>
      <c r="D2" s="19">
        <v>0.35457843589757521</v>
      </c>
      <c r="E2" s="19">
        <v>0</v>
      </c>
      <c r="F2" s="19">
        <v>0</v>
      </c>
      <c r="G2" s="19">
        <v>0</v>
      </c>
      <c r="H2" s="19">
        <v>0</v>
      </c>
      <c r="I2" s="19">
        <v>0</v>
      </c>
      <c r="J2" s="19">
        <v>0</v>
      </c>
      <c r="K2" s="19">
        <v>0.64542159399692933</v>
      </c>
      <c r="L2" s="1">
        <v>1.0000000298945046</v>
      </c>
      <c r="N2" t="s">
        <v>36</v>
      </c>
      <c r="O2" s="4">
        <v>0.6</v>
      </c>
      <c r="P2" s="4">
        <v>0.6</v>
      </c>
      <c r="AC2" s="7"/>
    </row>
    <row r="3" spans="1:29" x14ac:dyDescent="0.25">
      <c r="A3" t="s">
        <v>79</v>
      </c>
      <c r="B3" s="21">
        <v>84.813921218452563</v>
      </c>
      <c r="C3" s="18" t="s">
        <v>12</v>
      </c>
      <c r="D3" s="1" t="s">
        <v>13</v>
      </c>
      <c r="E3" s="1" t="s">
        <v>14</v>
      </c>
      <c r="F3" s="1" t="s">
        <v>15</v>
      </c>
      <c r="G3" s="1" t="s">
        <v>16</v>
      </c>
      <c r="H3" s="1" t="s">
        <v>17</v>
      </c>
      <c r="I3" s="1" t="s">
        <v>18</v>
      </c>
      <c r="J3" s="1" t="s">
        <v>19</v>
      </c>
      <c r="K3" s="1" t="s">
        <v>20</v>
      </c>
      <c r="L3" s="1"/>
      <c r="N3" t="s">
        <v>37</v>
      </c>
      <c r="O3" s="4">
        <v>0.6</v>
      </c>
      <c r="P3" s="4">
        <v>0.6</v>
      </c>
      <c r="Q3" t="s">
        <v>55</v>
      </c>
      <c r="Y3" s="1" t="s">
        <v>12</v>
      </c>
      <c r="Z3" t="s">
        <v>47</v>
      </c>
      <c r="AA3" t="s">
        <v>48</v>
      </c>
      <c r="AB3" t="s">
        <v>49</v>
      </c>
      <c r="AC3" s="7"/>
    </row>
    <row r="4" spans="1:29" x14ac:dyDescent="0.25">
      <c r="A4" t="s">
        <v>21</v>
      </c>
      <c r="B4">
        <v>6.0122254202920548E-4</v>
      </c>
      <c r="C4" s="1" t="s">
        <v>13</v>
      </c>
      <c r="D4">
        <v>4</v>
      </c>
      <c r="E4">
        <v>1</v>
      </c>
      <c r="F4">
        <v>1</v>
      </c>
      <c r="G4">
        <v>1</v>
      </c>
      <c r="H4">
        <v>1</v>
      </c>
      <c r="I4">
        <v>1</v>
      </c>
      <c r="J4">
        <v>1</v>
      </c>
      <c r="K4">
        <v>18</v>
      </c>
      <c r="L4" s="1">
        <v>28</v>
      </c>
      <c r="N4" t="s">
        <v>38</v>
      </c>
      <c r="O4" s="4">
        <v>0.6</v>
      </c>
      <c r="P4" s="4">
        <v>0.6</v>
      </c>
      <c r="Q4" t="s">
        <v>56</v>
      </c>
      <c r="T4" t="s">
        <v>44</v>
      </c>
      <c r="V4" t="s">
        <v>57</v>
      </c>
      <c r="Y4" s="1" t="s">
        <v>13</v>
      </c>
      <c r="Z4">
        <v>28</v>
      </c>
      <c r="AA4">
        <v>4</v>
      </c>
      <c r="AB4">
        <v>24</v>
      </c>
      <c r="AC4" s="7"/>
    </row>
    <row r="5" spans="1:29" x14ac:dyDescent="0.25">
      <c r="C5" s="1" t="s">
        <v>14</v>
      </c>
      <c r="D5">
        <v>1</v>
      </c>
      <c r="K5">
        <v>4</v>
      </c>
      <c r="L5" s="1">
        <v>4</v>
      </c>
      <c r="M5" s="10" t="s">
        <v>39</v>
      </c>
      <c r="N5" s="10">
        <v>1</v>
      </c>
      <c r="O5" s="10">
        <v>2</v>
      </c>
      <c r="P5" s="10" t="s">
        <v>39</v>
      </c>
      <c r="Q5" s="10">
        <v>1</v>
      </c>
      <c r="R5" s="10">
        <v>2</v>
      </c>
      <c r="S5" s="10" t="s">
        <v>39</v>
      </c>
      <c r="T5" s="10">
        <v>1</v>
      </c>
      <c r="U5" s="10">
        <v>2</v>
      </c>
      <c r="V5" s="10" t="s">
        <v>11</v>
      </c>
      <c r="W5" t="s">
        <v>42</v>
      </c>
      <c r="X5" t="s">
        <v>43</v>
      </c>
      <c r="Y5" s="1" t="s">
        <v>14</v>
      </c>
      <c r="Z5">
        <v>4</v>
      </c>
      <c r="AA5">
        <v>0</v>
      </c>
      <c r="AB5">
        <v>4</v>
      </c>
      <c r="AC5" s="7"/>
    </row>
    <row r="6" spans="1:29" x14ac:dyDescent="0.25">
      <c r="A6" t="s">
        <v>22</v>
      </c>
      <c r="B6" s="20">
        <v>0.22991189101280485</v>
      </c>
      <c r="C6" s="1" t="s">
        <v>15</v>
      </c>
      <c r="D6">
        <v>1</v>
      </c>
      <c r="K6">
        <v>4</v>
      </c>
      <c r="L6" s="1">
        <v>4</v>
      </c>
      <c r="M6" s="10">
        <v>1</v>
      </c>
      <c r="N6">
        <v>10</v>
      </c>
      <c r="O6">
        <v>33</v>
      </c>
      <c r="P6" s="10">
        <v>1</v>
      </c>
      <c r="Q6">
        <v>18.489999999999998</v>
      </c>
      <c r="R6">
        <v>27.09</v>
      </c>
      <c r="S6" s="10">
        <v>1</v>
      </c>
      <c r="T6">
        <v>3.8983288263926434</v>
      </c>
      <c r="U6">
        <v>1.2893355481727575</v>
      </c>
      <c r="V6" s="12">
        <v>8.8427368841894047</v>
      </c>
      <c r="W6">
        <v>0.99705742453506019</v>
      </c>
      <c r="X6" s="12">
        <v>2.9425754649398117E-3</v>
      </c>
      <c r="Y6" s="1" t="s">
        <v>15</v>
      </c>
      <c r="Z6">
        <v>4</v>
      </c>
      <c r="AA6">
        <v>0</v>
      </c>
      <c r="AB6">
        <v>4</v>
      </c>
      <c r="AC6" s="7"/>
    </row>
    <row r="7" spans="1:29" x14ac:dyDescent="0.25">
      <c r="A7" t="s">
        <v>23</v>
      </c>
      <c r="B7" s="20">
        <v>0.22991194941377727</v>
      </c>
      <c r="C7" s="1" t="s">
        <v>16</v>
      </c>
      <c r="D7">
        <v>1</v>
      </c>
      <c r="K7">
        <v>4</v>
      </c>
      <c r="L7" s="1">
        <v>4</v>
      </c>
      <c r="M7" s="10">
        <v>2</v>
      </c>
      <c r="N7">
        <v>33</v>
      </c>
      <c r="O7">
        <v>30</v>
      </c>
      <c r="P7" s="10">
        <v>2</v>
      </c>
      <c r="Q7">
        <v>27.09</v>
      </c>
      <c r="R7">
        <v>39.69</v>
      </c>
      <c r="S7" s="10">
        <v>2</v>
      </c>
      <c r="T7">
        <v>1.2893355481727575</v>
      </c>
      <c r="U7">
        <v>2.3657369614512462</v>
      </c>
      <c r="Y7" s="1" t="s">
        <v>16</v>
      </c>
      <c r="Z7">
        <v>4</v>
      </c>
      <c r="AA7">
        <v>0</v>
      </c>
      <c r="AB7">
        <v>4</v>
      </c>
      <c r="AC7" s="7"/>
    </row>
    <row r="8" spans="1:29" x14ac:dyDescent="0.25">
      <c r="A8" t="s">
        <v>24</v>
      </c>
      <c r="B8" s="20">
        <v>0.22991208417227349</v>
      </c>
      <c r="C8" s="1" t="s">
        <v>17</v>
      </c>
      <c r="D8">
        <v>1</v>
      </c>
      <c r="K8">
        <v>4</v>
      </c>
      <c r="L8" s="1">
        <v>4</v>
      </c>
      <c r="M8" s="10" t="s">
        <v>40</v>
      </c>
      <c r="N8">
        <v>1</v>
      </c>
      <c r="O8">
        <v>2</v>
      </c>
      <c r="P8" s="10" t="s">
        <v>40</v>
      </c>
      <c r="S8" s="10" t="s">
        <v>40</v>
      </c>
      <c r="Y8" s="1" t="s">
        <v>17</v>
      </c>
      <c r="Z8">
        <v>4</v>
      </c>
      <c r="AA8">
        <v>0</v>
      </c>
      <c r="AB8">
        <v>4</v>
      </c>
      <c r="AC8" s="7"/>
    </row>
    <row r="9" spans="1:29" x14ac:dyDescent="0.25">
      <c r="C9" s="1" t="s">
        <v>18</v>
      </c>
      <c r="D9">
        <v>1</v>
      </c>
      <c r="K9">
        <v>4</v>
      </c>
      <c r="L9" s="1">
        <v>4</v>
      </c>
      <c r="M9" s="10">
        <v>1</v>
      </c>
      <c r="N9">
        <v>10</v>
      </c>
      <c r="O9">
        <v>33</v>
      </c>
      <c r="P9" s="10">
        <v>1</v>
      </c>
      <c r="Q9">
        <v>18.489999999999998</v>
      </c>
      <c r="R9">
        <v>27.09</v>
      </c>
      <c r="S9" s="10">
        <v>1</v>
      </c>
      <c r="T9">
        <v>3.8983288263926434</v>
      </c>
      <c r="U9">
        <v>1.2893355481727575</v>
      </c>
      <c r="V9" s="12">
        <v>8.8427368841894047</v>
      </c>
      <c r="W9">
        <v>0.99705742453506019</v>
      </c>
      <c r="X9" s="12">
        <v>2.9425754649398117E-3</v>
      </c>
      <c r="Y9" s="1" t="s">
        <v>18</v>
      </c>
      <c r="Z9">
        <v>4</v>
      </c>
      <c r="AA9">
        <v>0</v>
      </c>
      <c r="AB9">
        <v>4</v>
      </c>
      <c r="AC9" s="7"/>
    </row>
    <row r="10" spans="1:29" x14ac:dyDescent="0.25">
      <c r="A10" s="7"/>
      <c r="C10" s="1" t="s">
        <v>19</v>
      </c>
      <c r="D10">
        <v>1</v>
      </c>
      <c r="J10">
        <v>0</v>
      </c>
      <c r="K10">
        <v>4</v>
      </c>
      <c r="L10" s="1">
        <v>4</v>
      </c>
      <c r="M10" s="10">
        <v>2</v>
      </c>
      <c r="N10">
        <v>33</v>
      </c>
      <c r="O10">
        <v>30</v>
      </c>
      <c r="P10" s="10">
        <v>2</v>
      </c>
      <c r="Q10">
        <v>27.09</v>
      </c>
      <c r="R10">
        <v>39.69</v>
      </c>
      <c r="S10" s="10">
        <v>2</v>
      </c>
      <c r="T10">
        <v>1.2893355481727575</v>
      </c>
      <c r="U10">
        <v>2.3657369614512462</v>
      </c>
      <c r="Y10" s="1" t="s">
        <v>19</v>
      </c>
      <c r="Z10">
        <v>4</v>
      </c>
      <c r="AA10">
        <v>0</v>
      </c>
      <c r="AB10">
        <v>4</v>
      </c>
      <c r="AC10" s="7"/>
    </row>
    <row r="11" spans="1:29" x14ac:dyDescent="0.25">
      <c r="A11" s="7">
        <v>0</v>
      </c>
      <c r="B11" s="6">
        <v>0</v>
      </c>
      <c r="C11" s="1" t="s">
        <v>20</v>
      </c>
      <c r="D11">
        <v>18</v>
      </c>
      <c r="E11">
        <v>4</v>
      </c>
      <c r="F11">
        <v>4</v>
      </c>
      <c r="G11">
        <v>4</v>
      </c>
      <c r="H11">
        <v>4</v>
      </c>
      <c r="I11">
        <v>4</v>
      </c>
      <c r="J11">
        <v>4</v>
      </c>
      <c r="K11">
        <v>6</v>
      </c>
      <c r="L11" s="1">
        <v>48</v>
      </c>
      <c r="M11" s="10" t="s">
        <v>41</v>
      </c>
      <c r="N11">
        <v>1</v>
      </c>
      <c r="O11">
        <v>2</v>
      </c>
      <c r="P11" s="10" t="s">
        <v>41</v>
      </c>
      <c r="S11" s="10" t="s">
        <v>41</v>
      </c>
      <c r="Y11" s="1" t="s">
        <v>20</v>
      </c>
      <c r="Z11">
        <v>48</v>
      </c>
      <c r="AA11">
        <v>6</v>
      </c>
      <c r="AB11">
        <v>42</v>
      </c>
      <c r="AC11" s="7"/>
    </row>
    <row r="12" spans="1:29" x14ac:dyDescent="0.25">
      <c r="A12" s="7"/>
      <c r="B12" s="6"/>
      <c r="C12" s="1"/>
      <c r="D12" s="1">
        <v>28</v>
      </c>
      <c r="E12" s="1">
        <v>4</v>
      </c>
      <c r="F12" s="1">
        <v>4</v>
      </c>
      <c r="G12" s="1">
        <v>4</v>
      </c>
      <c r="H12" s="1">
        <v>4</v>
      </c>
      <c r="I12" s="1">
        <v>4</v>
      </c>
      <c r="J12" s="1">
        <v>4</v>
      </c>
      <c r="K12" s="1">
        <v>48</v>
      </c>
      <c r="L12" s="1">
        <v>100</v>
      </c>
      <c r="M12" s="10">
        <v>1</v>
      </c>
      <c r="N12">
        <v>10</v>
      </c>
      <c r="O12">
        <v>33</v>
      </c>
      <c r="P12" s="10">
        <v>1</v>
      </c>
      <c r="Q12">
        <v>18.489999999999998</v>
      </c>
      <c r="R12">
        <v>27.09</v>
      </c>
      <c r="S12" s="10">
        <v>1</v>
      </c>
      <c r="T12">
        <v>3.8983288263926434</v>
      </c>
      <c r="U12">
        <v>1.2893355481727575</v>
      </c>
      <c r="V12" s="12">
        <v>8.8427368841894047</v>
      </c>
      <c r="W12">
        <v>0.99705742453506019</v>
      </c>
      <c r="X12" s="12">
        <v>2.9425754649398117E-3</v>
      </c>
      <c r="Y12" s="1" t="s">
        <v>46</v>
      </c>
      <c r="Z12" s="7">
        <v>100</v>
      </c>
      <c r="AA12" s="7">
        <v>10</v>
      </c>
      <c r="AB12" s="7">
        <v>90</v>
      </c>
      <c r="AC12" s="7"/>
    </row>
    <row r="13" spans="1:29" x14ac:dyDescent="0.25">
      <c r="A13" s="7"/>
      <c r="C13" s="1" t="s">
        <v>25</v>
      </c>
      <c r="D13" s="4">
        <v>0.16193227987639153</v>
      </c>
      <c r="E13" s="4">
        <v>4.8345373555345732E-2</v>
      </c>
      <c r="F13" s="4">
        <v>4.8345336758643914E-2</v>
      </c>
      <c r="G13" s="4">
        <v>1.4433646997619922E-2</v>
      </c>
      <c r="H13" s="4">
        <v>4.8345320811874773E-2</v>
      </c>
      <c r="I13" s="4">
        <v>1.4433642236663602E-2</v>
      </c>
      <c r="J13" s="4">
        <v>1.4433631250908598E-2</v>
      </c>
      <c r="K13" s="4">
        <v>4.3092044101271376E-3</v>
      </c>
      <c r="M13" s="10">
        <v>2</v>
      </c>
      <c r="N13">
        <v>33</v>
      </c>
      <c r="O13">
        <v>30</v>
      </c>
      <c r="P13" s="10">
        <v>2</v>
      </c>
      <c r="Q13">
        <v>27.09</v>
      </c>
      <c r="R13">
        <v>39.69</v>
      </c>
      <c r="S13" s="10">
        <v>2</v>
      </c>
      <c r="T13">
        <v>1.2893355481727575</v>
      </c>
      <c r="U13">
        <v>2.3657369614512462</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0.45668958820487282</v>
      </c>
      <c r="C15" s="1" t="s">
        <v>13</v>
      </c>
      <c r="D15" s="4">
        <v>7.3952786213825464E-2</v>
      </c>
      <c r="E15" s="4">
        <v>2.2078828740601589E-2</v>
      </c>
      <c r="F15" s="4">
        <v>2.2078811935930989E-2</v>
      </c>
      <c r="G15" s="4">
        <v>6.5916963036375415E-3</v>
      </c>
      <c r="H15" s="4">
        <v>2.2078804653207558E-2</v>
      </c>
      <c r="I15" s="4">
        <v>6.5916941293583595E-3</v>
      </c>
      <c r="J15" s="4">
        <v>6.5916891122784309E-3</v>
      </c>
      <c r="K15" s="4">
        <v>1.9679687875515843E-3</v>
      </c>
      <c r="AC15" s="7"/>
    </row>
    <row r="16" spans="1:29" x14ac:dyDescent="0.25">
      <c r="A16" s="7"/>
      <c r="B16" s="4">
        <v>0.13634606242470693</v>
      </c>
      <c r="C16" s="1" t="s">
        <v>14</v>
      </c>
      <c r="D16" s="4">
        <v>2.2078828740601592E-2</v>
      </c>
      <c r="E16" s="4">
        <v>6.5917013207229449E-3</v>
      </c>
      <c r="F16" s="4">
        <v>6.5916963036375415E-3</v>
      </c>
      <c r="G16" s="4">
        <v>1.9679709345536696E-3</v>
      </c>
      <c r="H16" s="4">
        <v>6.5916941293583603E-3</v>
      </c>
      <c r="I16" s="4">
        <v>1.9679702854160219E-3</v>
      </c>
      <c r="J16" s="4">
        <v>1.9679687875515843E-3</v>
      </c>
      <c r="K16" s="4">
        <v>5.8754305350401713E-4</v>
      </c>
      <c r="O16" s="8"/>
      <c r="AC16" s="7"/>
    </row>
    <row r="17" spans="1:29" x14ac:dyDescent="0.25">
      <c r="A17" s="7"/>
      <c r="B17" s="4">
        <v>0.1363459586487914</v>
      </c>
      <c r="C17" s="1" t="s">
        <v>15</v>
      </c>
      <c r="D17" s="4">
        <v>2.2078811935930996E-2</v>
      </c>
      <c r="E17" s="4">
        <v>6.5916963036375424E-3</v>
      </c>
      <c r="F17" s="4">
        <v>6.591691286555958E-3</v>
      </c>
      <c r="G17" s="4">
        <v>1.9679694366887381E-3</v>
      </c>
      <c r="H17" s="4">
        <v>6.5916891122784317E-3</v>
      </c>
      <c r="I17" s="4">
        <v>1.9679687875515843E-3</v>
      </c>
      <c r="J17" s="4">
        <v>1.967967289688287E-3</v>
      </c>
      <c r="K17" s="4">
        <v>5.8754260631238423E-4</v>
      </c>
      <c r="AC17" s="7"/>
    </row>
    <row r="18" spans="1:29" x14ac:dyDescent="0.25">
      <c r="A18" s="7"/>
      <c r="B18" s="4">
        <v>4.070649970882402E-2</v>
      </c>
      <c r="C18" s="1" t="s">
        <v>16</v>
      </c>
      <c r="D18" s="4">
        <v>6.5916963036375415E-3</v>
      </c>
      <c r="E18" s="4">
        <v>1.9679709345536696E-3</v>
      </c>
      <c r="F18" s="4">
        <v>1.9679694366887377E-3</v>
      </c>
      <c r="G18" s="4">
        <v>5.8754324730588405E-4</v>
      </c>
      <c r="H18" s="4">
        <v>1.9679687875515843E-3</v>
      </c>
      <c r="I18" s="4">
        <v>5.8754305350401702E-4</v>
      </c>
      <c r="J18" s="4">
        <v>5.8754260631238412E-4</v>
      </c>
      <c r="K18" s="4">
        <v>1.754126280661035E-4</v>
      </c>
      <c r="AC18" s="7"/>
    </row>
    <row r="19" spans="1:29" x14ac:dyDescent="0.25">
      <c r="A19" s="7"/>
      <c r="B19" s="4">
        <v>0.13634591367490825</v>
      </c>
      <c r="C19" s="1" t="s">
        <v>17</v>
      </c>
      <c r="D19" s="4">
        <v>2.2078804653207561E-2</v>
      </c>
      <c r="E19" s="4">
        <v>6.5916941293583612E-3</v>
      </c>
      <c r="F19" s="4">
        <v>6.5916891122784317E-3</v>
      </c>
      <c r="G19" s="4">
        <v>1.9679687875515848E-3</v>
      </c>
      <c r="H19" s="4">
        <v>6.5916869380016228E-3</v>
      </c>
      <c r="I19" s="4">
        <v>1.9679681384146453E-3</v>
      </c>
      <c r="J19" s="4">
        <v>1.9679666405518418E-3</v>
      </c>
      <c r="K19" s="4">
        <v>5.8754241251072863E-4</v>
      </c>
      <c r="AC19" s="7"/>
    </row>
    <row r="20" spans="1:29" x14ac:dyDescent="0.25">
      <c r="A20" s="7"/>
      <c r="B20" s="4">
        <v>4.0706486281734733E-2</v>
      </c>
      <c r="C20" s="1" t="s">
        <v>18</v>
      </c>
      <c r="D20" s="4">
        <v>6.5916941293583612E-3</v>
      </c>
      <c r="E20" s="4">
        <v>1.9679702854160223E-3</v>
      </c>
      <c r="F20" s="4">
        <v>1.9679687875515843E-3</v>
      </c>
      <c r="G20" s="4">
        <v>5.8754305350401702E-4</v>
      </c>
      <c r="H20" s="4">
        <v>1.9679681384146453E-3</v>
      </c>
      <c r="I20" s="4">
        <v>5.8754285970221397E-4</v>
      </c>
      <c r="J20" s="4">
        <v>5.8754241251072863E-4</v>
      </c>
      <c r="K20" s="4">
        <v>1.7541257020603113E-4</v>
      </c>
      <c r="AC20" s="7"/>
    </row>
    <row r="21" spans="1:29" x14ac:dyDescent="0.25">
      <c r="A21" s="7"/>
      <c r="B21" s="4">
        <v>4.0706455299154037E-2</v>
      </c>
      <c r="C21" s="1" t="s">
        <v>19</v>
      </c>
      <c r="D21" s="4">
        <v>6.5916891122784326E-3</v>
      </c>
      <c r="E21" s="4">
        <v>1.9679687875515848E-3</v>
      </c>
      <c r="F21" s="4">
        <v>1.967967289688287E-3</v>
      </c>
      <c r="G21" s="4">
        <v>5.8754260631238423E-4</v>
      </c>
      <c r="H21" s="4">
        <v>1.9679666405518418E-3</v>
      </c>
      <c r="I21" s="4">
        <v>5.8754241251072863E-4</v>
      </c>
      <c r="J21" s="4">
        <v>5.8754196531958362E-4</v>
      </c>
      <c r="K21" s="4">
        <v>1.7541243669575777E-4</v>
      </c>
      <c r="M21" t="s">
        <v>62</v>
      </c>
      <c r="AC21" s="7"/>
    </row>
    <row r="22" spans="1:29" x14ac:dyDescent="0.25">
      <c r="A22" s="7"/>
      <c r="B22" s="4">
        <v>1.2153035757007824E-2</v>
      </c>
      <c r="C22" s="1" t="s">
        <v>20</v>
      </c>
      <c r="D22" s="4">
        <v>1.9679687875515848E-3</v>
      </c>
      <c r="E22" s="4">
        <v>5.8754305350401713E-4</v>
      </c>
      <c r="F22" s="4">
        <v>5.8754260631238423E-4</v>
      </c>
      <c r="G22" s="4">
        <v>1.7541262806610353E-4</v>
      </c>
      <c r="H22" s="4">
        <v>5.8754241251072863E-4</v>
      </c>
      <c r="I22" s="4">
        <v>1.7541257020603113E-4</v>
      </c>
      <c r="J22" s="4">
        <v>1.7541243669575777E-4</v>
      </c>
      <c r="K22" s="4">
        <v>5.2369915280530911E-5</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6.4000000000000015E-2</v>
      </c>
      <c r="P24">
        <v>9.6000000000000016E-2</v>
      </c>
      <c r="Q24">
        <v>9.6000000000000002E-2</v>
      </c>
      <c r="R24">
        <v>0.14399999999999999</v>
      </c>
      <c r="S24">
        <v>9.6000000000000002E-2</v>
      </c>
      <c r="T24">
        <v>0.14399999999999999</v>
      </c>
      <c r="U24">
        <v>0.14399999999999999</v>
      </c>
      <c r="V24">
        <v>0.216</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0.13634606242470693</v>
      </c>
      <c r="C26" s="1" t="s">
        <v>13</v>
      </c>
      <c r="D26" s="4">
        <v>0</v>
      </c>
      <c r="E26" s="4">
        <v>0</v>
      </c>
      <c r="F26" s="4">
        <v>0</v>
      </c>
      <c r="G26" s="4">
        <v>0</v>
      </c>
      <c r="H26" s="4">
        <v>0</v>
      </c>
      <c r="I26" s="4">
        <v>0</v>
      </c>
      <c r="J26" s="4">
        <v>0</v>
      </c>
      <c r="K26" s="4">
        <v>0</v>
      </c>
      <c r="M26" s="4">
        <v>6.4000000000000015E-2</v>
      </c>
      <c r="N26" s="1" t="s">
        <v>13</v>
      </c>
      <c r="O26">
        <v>4.0960000000000015E-3</v>
      </c>
      <c r="P26">
        <v>6.1440000000000028E-3</v>
      </c>
      <c r="Q26">
        <v>6.1440000000000019E-3</v>
      </c>
      <c r="R26">
        <v>9.216000000000002E-3</v>
      </c>
      <c r="S26">
        <v>6.1440000000000019E-3</v>
      </c>
      <c r="T26">
        <v>9.216000000000002E-3</v>
      </c>
      <c r="U26">
        <v>9.216000000000002E-3</v>
      </c>
      <c r="V26">
        <v>1.3824000000000003E-2</v>
      </c>
      <c r="AC26" s="7"/>
    </row>
    <row r="27" spans="1:29" x14ac:dyDescent="0.25">
      <c r="A27" s="7"/>
      <c r="B27" s="4">
        <v>0.45668958820487282</v>
      </c>
      <c r="C27" s="1" t="s">
        <v>14</v>
      </c>
      <c r="D27" s="4">
        <v>0</v>
      </c>
      <c r="E27" s="4">
        <v>0</v>
      </c>
      <c r="F27" s="4">
        <v>0</v>
      </c>
      <c r="G27" s="4">
        <v>0</v>
      </c>
      <c r="H27" s="4">
        <v>0</v>
      </c>
      <c r="I27" s="4">
        <v>0</v>
      </c>
      <c r="J27" s="4">
        <v>0</v>
      </c>
      <c r="K27" s="4">
        <v>0</v>
      </c>
      <c r="M27" s="4">
        <v>9.6000000000000016E-2</v>
      </c>
      <c r="N27" s="1" t="s">
        <v>14</v>
      </c>
      <c r="O27">
        <v>6.1440000000000028E-3</v>
      </c>
      <c r="P27">
        <v>9.2160000000000037E-3</v>
      </c>
      <c r="Q27">
        <v>9.216000000000002E-3</v>
      </c>
      <c r="R27">
        <v>1.3824000000000001E-2</v>
      </c>
      <c r="S27">
        <v>9.216000000000002E-3</v>
      </c>
      <c r="T27">
        <v>1.3824000000000001E-2</v>
      </c>
      <c r="U27">
        <v>1.3824000000000001E-2</v>
      </c>
      <c r="V27">
        <v>2.0736000000000004E-2</v>
      </c>
      <c r="AC27" s="7"/>
    </row>
    <row r="28" spans="1:29" x14ac:dyDescent="0.25">
      <c r="A28" s="7"/>
      <c r="B28" s="4">
        <v>4.070649970882402E-2</v>
      </c>
      <c r="C28" s="1" t="s">
        <v>15</v>
      </c>
      <c r="D28" s="4">
        <v>0</v>
      </c>
      <c r="E28" s="4">
        <v>0</v>
      </c>
      <c r="F28" s="4">
        <v>0</v>
      </c>
      <c r="G28" s="4">
        <v>0</v>
      </c>
      <c r="H28" s="4">
        <v>0</v>
      </c>
      <c r="I28" s="4">
        <v>0</v>
      </c>
      <c r="J28" s="4">
        <v>0</v>
      </c>
      <c r="K28" s="4">
        <v>0</v>
      </c>
      <c r="M28" s="4">
        <v>9.6000000000000002E-2</v>
      </c>
      <c r="N28" s="1" t="s">
        <v>15</v>
      </c>
      <c r="O28">
        <v>6.1440000000000019E-3</v>
      </c>
      <c r="P28">
        <v>9.216000000000002E-3</v>
      </c>
      <c r="Q28">
        <v>9.2160000000000002E-3</v>
      </c>
      <c r="R28">
        <v>1.3823999999999999E-2</v>
      </c>
      <c r="S28">
        <v>9.2160000000000002E-3</v>
      </c>
      <c r="T28">
        <v>1.3823999999999999E-2</v>
      </c>
      <c r="U28">
        <v>1.3823999999999999E-2</v>
      </c>
      <c r="V28">
        <v>2.0736000000000001E-2</v>
      </c>
      <c r="AC28" s="7"/>
    </row>
    <row r="29" spans="1:29" x14ac:dyDescent="0.25">
      <c r="A29" s="7"/>
      <c r="B29" s="4">
        <v>0.1363459586487914</v>
      </c>
      <c r="C29" s="1" t="s">
        <v>16</v>
      </c>
      <c r="D29" s="4">
        <v>0</v>
      </c>
      <c r="E29" s="4">
        <v>0</v>
      </c>
      <c r="F29" s="4">
        <v>0</v>
      </c>
      <c r="G29" s="4">
        <v>0</v>
      </c>
      <c r="H29" s="4">
        <v>0</v>
      </c>
      <c r="I29" s="4">
        <v>0</v>
      </c>
      <c r="J29" s="4">
        <v>0</v>
      </c>
      <c r="K29" s="4">
        <v>0</v>
      </c>
      <c r="M29" s="4">
        <v>0.14399999999999999</v>
      </c>
      <c r="N29" s="1" t="s">
        <v>16</v>
      </c>
      <c r="O29">
        <v>9.216000000000002E-3</v>
      </c>
      <c r="P29">
        <v>1.3824000000000001E-2</v>
      </c>
      <c r="Q29">
        <v>1.3823999999999999E-2</v>
      </c>
      <c r="R29">
        <v>2.0735999999999997E-2</v>
      </c>
      <c r="S29">
        <v>1.3823999999999999E-2</v>
      </c>
      <c r="T29">
        <v>2.0735999999999997E-2</v>
      </c>
      <c r="U29">
        <v>2.0735999999999997E-2</v>
      </c>
      <c r="V29">
        <v>3.1103999999999996E-2</v>
      </c>
      <c r="AC29" s="7"/>
    </row>
    <row r="30" spans="1:29" x14ac:dyDescent="0.25">
      <c r="A30" s="7"/>
      <c r="B30" s="4">
        <v>4.0706486281734733E-2</v>
      </c>
      <c r="C30" s="1" t="s">
        <v>17</v>
      </c>
      <c r="D30" s="4">
        <v>0</v>
      </c>
      <c r="E30" s="4">
        <v>0</v>
      </c>
      <c r="F30" s="4">
        <v>0</v>
      </c>
      <c r="G30" s="4">
        <v>0</v>
      </c>
      <c r="H30" s="4">
        <v>0</v>
      </c>
      <c r="I30" s="4">
        <v>0</v>
      </c>
      <c r="J30" s="4">
        <v>0</v>
      </c>
      <c r="K30" s="4">
        <v>0</v>
      </c>
      <c r="M30" s="4">
        <v>9.6000000000000002E-2</v>
      </c>
      <c r="N30" s="1" t="s">
        <v>17</v>
      </c>
      <c r="O30">
        <v>6.1440000000000019E-3</v>
      </c>
      <c r="P30">
        <v>9.216000000000002E-3</v>
      </c>
      <c r="Q30">
        <v>9.2160000000000002E-3</v>
      </c>
      <c r="R30">
        <v>1.3823999999999999E-2</v>
      </c>
      <c r="S30">
        <v>9.2160000000000002E-3</v>
      </c>
      <c r="T30">
        <v>1.3823999999999999E-2</v>
      </c>
      <c r="U30">
        <v>1.3823999999999999E-2</v>
      </c>
      <c r="V30">
        <v>2.0736000000000001E-2</v>
      </c>
      <c r="AC30" s="7"/>
    </row>
    <row r="31" spans="1:29" x14ac:dyDescent="0.25">
      <c r="A31" s="7"/>
      <c r="B31" s="4">
        <v>0.13634591367490825</v>
      </c>
      <c r="C31" s="1" t="s">
        <v>18</v>
      </c>
      <c r="D31" s="4">
        <v>0</v>
      </c>
      <c r="E31" s="4">
        <v>0</v>
      </c>
      <c r="F31" s="4">
        <v>0</v>
      </c>
      <c r="G31" s="4">
        <v>0</v>
      </c>
      <c r="H31" s="4">
        <v>0</v>
      </c>
      <c r="I31" s="4">
        <v>0</v>
      </c>
      <c r="J31" s="4">
        <v>0</v>
      </c>
      <c r="K31" s="4">
        <v>0</v>
      </c>
      <c r="M31" s="4">
        <v>0.14399999999999999</v>
      </c>
      <c r="N31" s="1" t="s">
        <v>18</v>
      </c>
      <c r="O31">
        <v>9.216000000000002E-3</v>
      </c>
      <c r="P31">
        <v>1.3824000000000001E-2</v>
      </c>
      <c r="Q31">
        <v>1.3823999999999999E-2</v>
      </c>
      <c r="R31">
        <v>2.0735999999999997E-2</v>
      </c>
      <c r="S31">
        <v>1.3823999999999999E-2</v>
      </c>
      <c r="T31">
        <v>2.0735999999999997E-2</v>
      </c>
      <c r="U31">
        <v>2.0735999999999997E-2</v>
      </c>
      <c r="V31">
        <v>3.1103999999999996E-2</v>
      </c>
      <c r="AC31" s="7"/>
    </row>
    <row r="32" spans="1:29" x14ac:dyDescent="0.25">
      <c r="A32" s="7"/>
      <c r="B32" s="4">
        <v>1.2153035757007824E-2</v>
      </c>
      <c r="C32" s="1" t="s">
        <v>19</v>
      </c>
      <c r="D32" s="4">
        <v>0</v>
      </c>
      <c r="E32" s="4">
        <v>0</v>
      </c>
      <c r="F32" s="4">
        <v>0</v>
      </c>
      <c r="G32" s="4">
        <v>0</v>
      </c>
      <c r="H32" s="4">
        <v>0</v>
      </c>
      <c r="I32" s="4">
        <v>0</v>
      </c>
      <c r="J32" s="4">
        <v>0</v>
      </c>
      <c r="K32" s="4">
        <v>0</v>
      </c>
      <c r="M32" s="4">
        <v>0.14399999999999999</v>
      </c>
      <c r="N32" s="1" t="s">
        <v>19</v>
      </c>
      <c r="O32">
        <v>9.216000000000002E-3</v>
      </c>
      <c r="P32">
        <v>1.3824000000000001E-2</v>
      </c>
      <c r="Q32">
        <v>1.3823999999999999E-2</v>
      </c>
      <c r="R32">
        <v>2.0735999999999997E-2</v>
      </c>
      <c r="S32">
        <v>1.3823999999999999E-2</v>
      </c>
      <c r="T32">
        <v>2.0735999999999997E-2</v>
      </c>
      <c r="U32">
        <v>2.0735999999999997E-2</v>
      </c>
      <c r="V32">
        <v>3.1103999999999996E-2</v>
      </c>
      <c r="AC32" s="7"/>
    </row>
    <row r="33" spans="1:29" x14ac:dyDescent="0.25">
      <c r="A33" s="7"/>
      <c r="B33" s="4">
        <v>4.0706455299154037E-2</v>
      </c>
      <c r="C33" s="1" t="s">
        <v>20</v>
      </c>
      <c r="D33" s="4">
        <v>0</v>
      </c>
      <c r="E33" s="4">
        <v>0</v>
      </c>
      <c r="F33" s="4">
        <v>0</v>
      </c>
      <c r="G33" s="4">
        <v>0</v>
      </c>
      <c r="H33" s="4">
        <v>0</v>
      </c>
      <c r="I33" s="4">
        <v>0</v>
      </c>
      <c r="J33" s="4">
        <v>0</v>
      </c>
      <c r="K33" s="4">
        <v>0</v>
      </c>
      <c r="M33" s="4">
        <v>0.216</v>
      </c>
      <c r="N33" s="1" t="s">
        <v>20</v>
      </c>
      <c r="O33">
        <v>1.3824000000000003E-2</v>
      </c>
      <c r="P33">
        <v>2.0736000000000004E-2</v>
      </c>
      <c r="Q33">
        <v>2.0736000000000001E-2</v>
      </c>
      <c r="R33">
        <v>3.1103999999999996E-2</v>
      </c>
      <c r="S33">
        <v>2.0736000000000001E-2</v>
      </c>
      <c r="T33">
        <v>3.1103999999999996E-2</v>
      </c>
      <c r="U33">
        <v>3.1103999999999996E-2</v>
      </c>
      <c r="V33">
        <v>4.6655999999999996E-2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0.1363459586487914</v>
      </c>
      <c r="C37" s="1" t="s">
        <v>13</v>
      </c>
      <c r="D37" s="4">
        <v>0</v>
      </c>
      <c r="E37" s="4">
        <v>0</v>
      </c>
      <c r="F37" s="4">
        <v>0</v>
      </c>
      <c r="G37" s="4">
        <v>0</v>
      </c>
      <c r="H37" s="4">
        <v>0</v>
      </c>
      <c r="I37" s="4">
        <v>0</v>
      </c>
      <c r="J37" s="4">
        <v>0</v>
      </c>
      <c r="K37" s="4">
        <v>0</v>
      </c>
      <c r="N37" s="1" t="s">
        <v>13</v>
      </c>
      <c r="O37" s="5">
        <v>0.40960000000000013</v>
      </c>
      <c r="P37" s="5">
        <v>0.61440000000000028</v>
      </c>
      <c r="Q37" s="5">
        <v>0.61440000000000017</v>
      </c>
      <c r="R37" s="5">
        <v>0.9216000000000002</v>
      </c>
      <c r="S37" s="5">
        <v>0.61440000000000017</v>
      </c>
      <c r="T37" s="5">
        <v>0.9216000000000002</v>
      </c>
      <c r="U37" s="5">
        <v>0.9216000000000002</v>
      </c>
      <c r="V37" s="5">
        <v>1.3824000000000003</v>
      </c>
      <c r="X37">
        <v>6.4000000000000021</v>
      </c>
      <c r="Y37">
        <v>0.40960000000000013</v>
      </c>
      <c r="Z37">
        <v>5.9904000000000019</v>
      </c>
      <c r="AA37">
        <v>31.472099999999987</v>
      </c>
      <c r="AB37">
        <v>54.144246153846126</v>
      </c>
      <c r="AC37" s="7"/>
    </row>
    <row r="38" spans="1:29" x14ac:dyDescent="0.25">
      <c r="A38" s="7"/>
      <c r="B38" s="4">
        <v>4.070649970882402E-2</v>
      </c>
      <c r="C38" s="1" t="s">
        <v>14</v>
      </c>
      <c r="D38" s="4">
        <v>0</v>
      </c>
      <c r="E38" s="4">
        <v>0</v>
      </c>
      <c r="F38" s="4">
        <v>0</v>
      </c>
      <c r="G38" s="4">
        <v>0</v>
      </c>
      <c r="H38" s="4">
        <v>0</v>
      </c>
      <c r="I38" s="4">
        <v>0</v>
      </c>
      <c r="J38" s="4">
        <v>0</v>
      </c>
      <c r="K38" s="4">
        <v>0</v>
      </c>
      <c r="N38" s="1" t="s">
        <v>14</v>
      </c>
      <c r="O38" s="5">
        <v>0.61440000000000028</v>
      </c>
      <c r="P38" s="5">
        <v>0.92160000000000042</v>
      </c>
      <c r="Q38" s="5">
        <v>0.9216000000000002</v>
      </c>
      <c r="R38" s="5">
        <v>1.3824000000000001</v>
      </c>
      <c r="S38" s="5">
        <v>0.9216000000000002</v>
      </c>
      <c r="T38" s="5">
        <v>1.3824000000000001</v>
      </c>
      <c r="U38" s="5">
        <v>1.3824000000000001</v>
      </c>
      <c r="V38" s="5">
        <v>2.0736000000000003</v>
      </c>
      <c r="X38">
        <v>9.6000000000000032</v>
      </c>
      <c r="Y38">
        <v>0.92160000000000042</v>
      </c>
      <c r="Z38">
        <v>8.6784000000000034</v>
      </c>
      <c r="AA38">
        <v>0.92160000000000042</v>
      </c>
      <c r="AB38">
        <v>2.5220578171091472</v>
      </c>
      <c r="AC38" s="7"/>
    </row>
    <row r="39" spans="1:29" x14ac:dyDescent="0.25">
      <c r="A39" s="7"/>
      <c r="B39" s="4">
        <v>0.45668958820487282</v>
      </c>
      <c r="C39" s="1" t="s">
        <v>15</v>
      </c>
      <c r="D39" s="4">
        <v>0</v>
      </c>
      <c r="E39" s="4">
        <v>0</v>
      </c>
      <c r="F39" s="4">
        <v>0</v>
      </c>
      <c r="G39" s="4">
        <v>0</v>
      </c>
      <c r="H39" s="4">
        <v>0</v>
      </c>
      <c r="I39" s="4">
        <v>0</v>
      </c>
      <c r="J39" s="4">
        <v>0</v>
      </c>
      <c r="K39" s="4">
        <v>0</v>
      </c>
      <c r="N39" s="1" t="s">
        <v>15</v>
      </c>
      <c r="O39" s="5">
        <v>0.61440000000000017</v>
      </c>
      <c r="P39" s="5">
        <v>0.9216000000000002</v>
      </c>
      <c r="Q39" s="5">
        <v>0.92159999999999997</v>
      </c>
      <c r="R39" s="5">
        <v>1.3823999999999999</v>
      </c>
      <c r="S39" s="5">
        <v>0.92159999999999997</v>
      </c>
      <c r="T39" s="5">
        <v>1.3823999999999999</v>
      </c>
      <c r="U39" s="5">
        <v>1.3823999999999999</v>
      </c>
      <c r="V39" s="5">
        <v>2.0735999999999999</v>
      </c>
      <c r="X39">
        <v>9.5999999999999979</v>
      </c>
      <c r="Y39">
        <v>0.92159999999999997</v>
      </c>
      <c r="Z39">
        <v>8.6783999999999981</v>
      </c>
      <c r="AA39">
        <v>0.92159999999999997</v>
      </c>
      <c r="AB39">
        <v>2.5220578171091432</v>
      </c>
      <c r="AC39" s="7"/>
    </row>
    <row r="40" spans="1:29" x14ac:dyDescent="0.25">
      <c r="A40" s="7"/>
      <c r="B40" s="4">
        <v>0.13634606242470693</v>
      </c>
      <c r="C40" s="1" t="s">
        <v>16</v>
      </c>
      <c r="D40" s="4">
        <v>0</v>
      </c>
      <c r="E40" s="4">
        <v>0</v>
      </c>
      <c r="F40" s="4">
        <v>0</v>
      </c>
      <c r="G40" s="4">
        <v>0</v>
      </c>
      <c r="H40" s="4">
        <v>0</v>
      </c>
      <c r="I40" s="4">
        <v>0</v>
      </c>
      <c r="J40" s="4">
        <v>0</v>
      </c>
      <c r="K40" s="4">
        <v>0</v>
      </c>
      <c r="N40" s="1" t="s">
        <v>16</v>
      </c>
      <c r="O40" s="5">
        <v>0.9216000000000002</v>
      </c>
      <c r="P40" s="5">
        <v>1.3824000000000001</v>
      </c>
      <c r="Q40" s="5">
        <v>1.3823999999999999</v>
      </c>
      <c r="R40" s="5">
        <v>2.0735999999999999</v>
      </c>
      <c r="S40" s="5">
        <v>1.3823999999999999</v>
      </c>
      <c r="T40" s="5">
        <v>2.0735999999999999</v>
      </c>
      <c r="U40" s="5">
        <v>2.0735999999999999</v>
      </c>
      <c r="V40" s="5">
        <v>3.1103999999999998</v>
      </c>
      <c r="X40">
        <v>14.4</v>
      </c>
      <c r="Y40">
        <v>2.0735999999999999</v>
      </c>
      <c r="Z40">
        <v>12.3264</v>
      </c>
      <c r="AA40">
        <v>2.0735999999999999</v>
      </c>
      <c r="AB40">
        <v>5.6244269989615781</v>
      </c>
      <c r="AC40" s="7"/>
    </row>
    <row r="41" spans="1:29" x14ac:dyDescent="0.25">
      <c r="A41" s="7"/>
      <c r="B41" s="4">
        <v>4.0706455299154037E-2</v>
      </c>
      <c r="C41" s="1" t="s">
        <v>17</v>
      </c>
      <c r="D41" s="4">
        <v>0</v>
      </c>
      <c r="E41" s="4">
        <v>0</v>
      </c>
      <c r="F41" s="4">
        <v>0</v>
      </c>
      <c r="G41" s="4">
        <v>0</v>
      </c>
      <c r="H41" s="4">
        <v>0</v>
      </c>
      <c r="I41" s="4">
        <v>0</v>
      </c>
      <c r="J41" s="4">
        <v>0</v>
      </c>
      <c r="K41" s="4">
        <v>0</v>
      </c>
      <c r="N41" s="1" t="s">
        <v>17</v>
      </c>
      <c r="O41" s="5">
        <v>0.61440000000000017</v>
      </c>
      <c r="P41" s="5">
        <v>0.9216000000000002</v>
      </c>
      <c r="Q41" s="5">
        <v>0.92159999999999997</v>
      </c>
      <c r="R41" s="5">
        <v>1.3823999999999999</v>
      </c>
      <c r="S41" s="5">
        <v>0.92159999999999997</v>
      </c>
      <c r="T41" s="5">
        <v>1.3823999999999999</v>
      </c>
      <c r="U41" s="5">
        <v>1.3823999999999999</v>
      </c>
      <c r="V41" s="5">
        <v>2.0735999999999999</v>
      </c>
      <c r="X41">
        <v>9.5999999999999979</v>
      </c>
      <c r="Y41">
        <v>0.92159999999999997</v>
      </c>
      <c r="Z41">
        <v>8.6783999999999981</v>
      </c>
      <c r="AA41">
        <v>0.92159999999999997</v>
      </c>
      <c r="AB41">
        <v>2.5220578171091432</v>
      </c>
      <c r="AC41" s="7"/>
    </row>
    <row r="42" spans="1:29" x14ac:dyDescent="0.25">
      <c r="A42" s="7"/>
      <c r="B42" s="4">
        <v>1.2153035757007824E-2</v>
      </c>
      <c r="C42" s="1" t="s">
        <v>18</v>
      </c>
      <c r="D42" s="4">
        <v>0</v>
      </c>
      <c r="E42" s="4">
        <v>0</v>
      </c>
      <c r="F42" s="4">
        <v>0</v>
      </c>
      <c r="G42" s="4">
        <v>0</v>
      </c>
      <c r="H42" s="4">
        <v>0</v>
      </c>
      <c r="I42" s="4">
        <v>0</v>
      </c>
      <c r="J42" s="4">
        <v>0</v>
      </c>
      <c r="K42" s="4">
        <v>0</v>
      </c>
      <c r="N42" s="1" t="s">
        <v>18</v>
      </c>
      <c r="O42" s="5">
        <v>0.9216000000000002</v>
      </c>
      <c r="P42" s="5">
        <v>1.3824000000000001</v>
      </c>
      <c r="Q42" s="5">
        <v>1.3823999999999999</v>
      </c>
      <c r="R42" s="5">
        <v>2.0735999999999999</v>
      </c>
      <c r="S42" s="5">
        <v>1.3823999999999999</v>
      </c>
      <c r="T42" s="5">
        <v>2.0735999999999999</v>
      </c>
      <c r="U42" s="5">
        <v>2.0735999999999999</v>
      </c>
      <c r="V42" s="5">
        <v>3.1103999999999998</v>
      </c>
      <c r="X42">
        <v>14.4</v>
      </c>
      <c r="Y42">
        <v>2.0735999999999999</v>
      </c>
      <c r="Z42">
        <v>12.3264</v>
      </c>
      <c r="AA42">
        <v>2.0735999999999999</v>
      </c>
      <c r="AB42">
        <v>5.6244269989615781</v>
      </c>
      <c r="AC42" s="7"/>
    </row>
    <row r="43" spans="1:29" x14ac:dyDescent="0.25">
      <c r="A43" s="7"/>
      <c r="B43" s="4">
        <v>0.13634591367490825</v>
      </c>
      <c r="C43" s="1" t="s">
        <v>19</v>
      </c>
      <c r="D43" s="4">
        <v>0</v>
      </c>
      <c r="E43" s="4">
        <v>0</v>
      </c>
      <c r="F43" s="4">
        <v>0</v>
      </c>
      <c r="G43" s="4">
        <v>0</v>
      </c>
      <c r="H43" s="4">
        <v>0</v>
      </c>
      <c r="I43" s="4">
        <v>0</v>
      </c>
      <c r="J43" s="4">
        <v>0</v>
      </c>
      <c r="K43" s="4">
        <v>0</v>
      </c>
      <c r="N43" s="1" t="s">
        <v>19</v>
      </c>
      <c r="O43" s="5">
        <v>0.9216000000000002</v>
      </c>
      <c r="P43" s="5">
        <v>1.3824000000000001</v>
      </c>
      <c r="Q43" s="5">
        <v>1.3823999999999999</v>
      </c>
      <c r="R43" s="5">
        <v>2.0735999999999999</v>
      </c>
      <c r="S43" s="5">
        <v>1.3823999999999999</v>
      </c>
      <c r="T43" s="5">
        <v>2.0735999999999999</v>
      </c>
      <c r="U43" s="5">
        <v>2.0735999999999999</v>
      </c>
      <c r="V43" s="5">
        <v>3.1103999999999998</v>
      </c>
      <c r="X43">
        <v>14.4</v>
      </c>
      <c r="Y43">
        <v>2.0735999999999999</v>
      </c>
      <c r="Z43">
        <v>12.3264</v>
      </c>
      <c r="AA43">
        <v>2.0735999999999999</v>
      </c>
      <c r="AB43">
        <v>5.6244269989615781</v>
      </c>
      <c r="AC43" s="7"/>
    </row>
    <row r="44" spans="1:29" x14ac:dyDescent="0.25">
      <c r="A44" s="7"/>
      <c r="B44" s="4">
        <v>4.0706486281734733E-2</v>
      </c>
      <c r="C44" s="1" t="s">
        <v>20</v>
      </c>
      <c r="D44" s="4">
        <v>0</v>
      </c>
      <c r="E44" s="4">
        <v>0</v>
      </c>
      <c r="F44" s="4">
        <v>0</v>
      </c>
      <c r="G44" s="4">
        <v>0</v>
      </c>
      <c r="H44" s="4">
        <v>0</v>
      </c>
      <c r="I44" s="4">
        <v>0</v>
      </c>
      <c r="J44" s="4">
        <v>0</v>
      </c>
      <c r="K44" s="4">
        <v>0</v>
      </c>
      <c r="N44" s="1" t="s">
        <v>20</v>
      </c>
      <c r="O44" s="5">
        <v>1.3824000000000003</v>
      </c>
      <c r="P44" s="5">
        <v>2.0736000000000003</v>
      </c>
      <c r="Q44" s="5">
        <v>2.0735999999999999</v>
      </c>
      <c r="R44" s="5">
        <v>3.1103999999999998</v>
      </c>
      <c r="S44" s="5">
        <v>2.0735999999999999</v>
      </c>
      <c r="T44" s="5">
        <v>3.1103999999999998</v>
      </c>
      <c r="U44" s="5">
        <v>3.1103999999999998</v>
      </c>
      <c r="V44" s="5">
        <v>4.6655999999999995</v>
      </c>
      <c r="X44">
        <v>21.6</v>
      </c>
      <c r="Y44">
        <v>4.6655999999999995</v>
      </c>
      <c r="Z44">
        <v>16.934400000000004</v>
      </c>
      <c r="AA44">
        <v>0.3816493827160497</v>
      </c>
      <c r="AB44">
        <v>37.101066666666647</v>
      </c>
      <c r="AC44" s="7"/>
    </row>
    <row r="45" spans="1:29" x14ac:dyDescent="0.25">
      <c r="A45" s="7"/>
      <c r="X45" s="9">
        <v>100.00000000000003</v>
      </c>
      <c r="Y45" s="9">
        <v>14.060799999999999</v>
      </c>
      <c r="Z45" s="9">
        <v>85.9392</v>
      </c>
      <c r="AA45" s="9">
        <v>40.83934938271603</v>
      </c>
      <c r="AB45" s="9">
        <v>115.68476726872495</v>
      </c>
      <c r="AC45" s="7"/>
    </row>
    <row r="46" spans="1:29" x14ac:dyDescent="0.25">
      <c r="A46" s="7"/>
      <c r="C46" s="1" t="s">
        <v>28</v>
      </c>
      <c r="D46" s="4">
        <v>0</v>
      </c>
      <c r="E46" s="4">
        <v>0</v>
      </c>
      <c r="F46" s="4">
        <v>0</v>
      </c>
      <c r="G46" s="4">
        <v>0</v>
      </c>
      <c r="H46" s="4">
        <v>0</v>
      </c>
      <c r="I46" s="4">
        <v>0</v>
      </c>
      <c r="J46" s="4">
        <v>0</v>
      </c>
      <c r="K46" s="4">
        <v>0</v>
      </c>
      <c r="P46" t="s">
        <v>70</v>
      </c>
      <c r="AB46" s="22">
        <v>156.52411665144098</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4.070649970882402E-2</v>
      </c>
      <c r="C48" s="1" t="s">
        <v>13</v>
      </c>
      <c r="D48" s="4">
        <v>0</v>
      </c>
      <c r="E48" s="4">
        <v>0</v>
      </c>
      <c r="F48" s="4">
        <v>0</v>
      </c>
      <c r="G48" s="4">
        <v>0</v>
      </c>
      <c r="H48" s="4">
        <v>0</v>
      </c>
      <c r="I48" s="4">
        <v>0</v>
      </c>
      <c r="J48" s="4">
        <v>0</v>
      </c>
      <c r="K48" s="4">
        <v>0</v>
      </c>
      <c r="N48" s="1" t="s">
        <v>13</v>
      </c>
      <c r="O48">
        <v>31.472099999999987</v>
      </c>
      <c r="P48">
        <v>0.24200416666666622</v>
      </c>
      <c r="Q48">
        <v>0.24200416666666641</v>
      </c>
      <c r="R48">
        <v>6.6694444444444102E-3</v>
      </c>
      <c r="S48">
        <v>0.24200416666666641</v>
      </c>
      <c r="T48">
        <v>6.6694444444444102E-3</v>
      </c>
      <c r="U48">
        <v>6.6694444444444102E-3</v>
      </c>
      <c r="V48">
        <v>199.75739999999996</v>
      </c>
      <c r="W48" s="7">
        <v>231.97552083333329</v>
      </c>
      <c r="Z48" t="s">
        <v>67</v>
      </c>
      <c r="AC48" s="7"/>
    </row>
    <row r="49" spans="1:29" x14ac:dyDescent="0.25">
      <c r="A49" s="7"/>
      <c r="B49" s="4">
        <v>0.1363459586487914</v>
      </c>
      <c r="C49" s="1" t="s">
        <v>14</v>
      </c>
      <c r="D49" s="4">
        <v>0</v>
      </c>
      <c r="E49" s="4">
        <v>0</v>
      </c>
      <c r="F49" s="4">
        <v>0</v>
      </c>
      <c r="G49" s="4">
        <v>0</v>
      </c>
      <c r="H49" s="4">
        <v>0</v>
      </c>
      <c r="I49" s="4">
        <v>0</v>
      </c>
      <c r="J49" s="4">
        <v>0</v>
      </c>
      <c r="K49" s="4">
        <v>0</v>
      </c>
      <c r="N49" s="1" t="s">
        <v>14</v>
      </c>
      <c r="O49">
        <v>0.24200416666666622</v>
      </c>
      <c r="P49">
        <v>0.92160000000000042</v>
      </c>
      <c r="Q49">
        <v>0.92160000000000031</v>
      </c>
      <c r="R49">
        <v>1.3824000000000001</v>
      </c>
      <c r="S49">
        <v>0.92160000000000031</v>
      </c>
      <c r="T49">
        <v>1.3824000000000001</v>
      </c>
      <c r="U49">
        <v>1.3824000000000001</v>
      </c>
      <c r="V49">
        <v>1.7896493827160487</v>
      </c>
      <c r="W49" s="7">
        <v>8.9436535493827165</v>
      </c>
      <c r="Z49" t="s">
        <v>69</v>
      </c>
      <c r="AB49">
        <v>12</v>
      </c>
      <c r="AC49" s="7"/>
    </row>
    <row r="50" spans="1:29" x14ac:dyDescent="0.25">
      <c r="A50" s="7"/>
      <c r="B50" s="4">
        <v>0.13634606242470693</v>
      </c>
      <c r="C50" s="1" t="s">
        <v>15</v>
      </c>
      <c r="D50" s="4">
        <v>0</v>
      </c>
      <c r="E50" s="4">
        <v>0</v>
      </c>
      <c r="F50" s="4">
        <v>0</v>
      </c>
      <c r="G50" s="4">
        <v>0</v>
      </c>
      <c r="H50" s="4">
        <v>0</v>
      </c>
      <c r="I50" s="4">
        <v>0</v>
      </c>
      <c r="J50" s="4">
        <v>0</v>
      </c>
      <c r="K50" s="4">
        <v>0</v>
      </c>
      <c r="N50" s="1" t="s">
        <v>15</v>
      </c>
      <c r="O50">
        <v>0.24200416666666641</v>
      </c>
      <c r="P50">
        <v>0.92160000000000031</v>
      </c>
      <c r="Q50">
        <v>0.92159999999999997</v>
      </c>
      <c r="R50">
        <v>1.3823999999999999</v>
      </c>
      <c r="S50">
        <v>0.92159999999999997</v>
      </c>
      <c r="T50">
        <v>1.3823999999999999</v>
      </c>
      <c r="U50">
        <v>1.3823999999999999</v>
      </c>
      <c r="V50">
        <v>1.7896493827160496</v>
      </c>
      <c r="W50" s="7">
        <v>8.9436535493827147</v>
      </c>
      <c r="AC50" s="7"/>
    </row>
    <row r="51" spans="1:29" x14ac:dyDescent="0.25">
      <c r="A51" s="7"/>
      <c r="B51" s="4">
        <v>0.45668958820487282</v>
      </c>
      <c r="C51" s="1" t="s">
        <v>16</v>
      </c>
      <c r="D51" s="4">
        <v>0</v>
      </c>
      <c r="E51" s="4">
        <v>0</v>
      </c>
      <c r="F51" s="4">
        <v>0</v>
      </c>
      <c r="G51" s="4">
        <v>0</v>
      </c>
      <c r="H51" s="4">
        <v>0</v>
      </c>
      <c r="I51" s="4">
        <v>0</v>
      </c>
      <c r="J51" s="4">
        <v>0</v>
      </c>
      <c r="K51" s="4">
        <v>0</v>
      </c>
      <c r="N51" s="1" t="s">
        <v>16</v>
      </c>
      <c r="O51">
        <v>6.6694444444444102E-3</v>
      </c>
      <c r="P51">
        <v>1.3824000000000001</v>
      </c>
      <c r="Q51">
        <v>1.3823999999999999</v>
      </c>
      <c r="R51">
        <v>2.0735999999999999</v>
      </c>
      <c r="S51">
        <v>1.3823999999999999</v>
      </c>
      <c r="T51">
        <v>2.0735999999999999</v>
      </c>
      <c r="U51">
        <v>2.0735999999999999</v>
      </c>
      <c r="V51">
        <v>0.25443292181069971</v>
      </c>
      <c r="W51" s="7">
        <v>10.629102366255143</v>
      </c>
      <c r="AC51" s="7"/>
    </row>
    <row r="52" spans="1:29" x14ac:dyDescent="0.25">
      <c r="A52" s="7"/>
      <c r="B52" s="4">
        <v>1.2153035757007824E-2</v>
      </c>
      <c r="C52" s="1" t="s">
        <v>17</v>
      </c>
      <c r="D52" s="4">
        <v>0</v>
      </c>
      <c r="E52" s="4">
        <v>0</v>
      </c>
      <c r="F52" s="4">
        <v>0</v>
      </c>
      <c r="G52" s="4">
        <v>0</v>
      </c>
      <c r="H52" s="4">
        <v>0</v>
      </c>
      <c r="I52" s="4">
        <v>0</v>
      </c>
      <c r="J52" s="4">
        <v>0</v>
      </c>
      <c r="K52" s="4">
        <v>0</v>
      </c>
      <c r="N52" s="1" t="s">
        <v>17</v>
      </c>
      <c r="O52">
        <v>0.24200416666666641</v>
      </c>
      <c r="P52">
        <v>0.92160000000000031</v>
      </c>
      <c r="Q52">
        <v>0.92159999999999997</v>
      </c>
      <c r="R52">
        <v>1.3823999999999999</v>
      </c>
      <c r="S52">
        <v>0.92159999999999997</v>
      </c>
      <c r="T52">
        <v>1.3823999999999999</v>
      </c>
      <c r="U52">
        <v>1.3823999999999999</v>
      </c>
      <c r="V52">
        <v>1.7896493827160496</v>
      </c>
      <c r="W52" s="7">
        <v>8.9436535493827147</v>
      </c>
      <c r="AC52" s="7"/>
    </row>
    <row r="53" spans="1:29" x14ac:dyDescent="0.25">
      <c r="A53" s="7"/>
      <c r="B53" s="4">
        <v>4.0706455299154037E-2</v>
      </c>
      <c r="C53" s="1" t="s">
        <v>18</v>
      </c>
      <c r="D53" s="4">
        <v>0</v>
      </c>
      <c r="E53" s="4">
        <v>0</v>
      </c>
      <c r="F53" s="4">
        <v>0</v>
      </c>
      <c r="G53" s="4">
        <v>0</v>
      </c>
      <c r="H53" s="4">
        <v>0</v>
      </c>
      <c r="I53" s="4">
        <v>0</v>
      </c>
      <c r="J53" s="4">
        <v>0</v>
      </c>
      <c r="K53" s="4">
        <v>0</v>
      </c>
      <c r="N53" s="1" t="s">
        <v>18</v>
      </c>
      <c r="O53">
        <v>6.6694444444444102E-3</v>
      </c>
      <c r="P53">
        <v>1.3824000000000001</v>
      </c>
      <c r="Q53">
        <v>1.3823999999999999</v>
      </c>
      <c r="R53">
        <v>2.0735999999999999</v>
      </c>
      <c r="S53">
        <v>1.3823999999999999</v>
      </c>
      <c r="T53">
        <v>2.0735999999999999</v>
      </c>
      <c r="U53">
        <v>2.0735999999999999</v>
      </c>
      <c r="V53">
        <v>0.25443292181069971</v>
      </c>
      <c r="W53" s="7">
        <v>10.629102366255143</v>
      </c>
      <c r="AC53" s="7"/>
    </row>
    <row r="54" spans="1:29" x14ac:dyDescent="0.25">
      <c r="A54" s="7"/>
      <c r="B54" s="4">
        <v>4.0706486281734733E-2</v>
      </c>
      <c r="C54" s="1" t="s">
        <v>19</v>
      </c>
      <c r="D54" s="4">
        <v>0</v>
      </c>
      <c r="E54" s="4">
        <v>0</v>
      </c>
      <c r="F54" s="4">
        <v>0</v>
      </c>
      <c r="G54" s="4">
        <v>0</v>
      </c>
      <c r="H54" s="4">
        <v>0</v>
      </c>
      <c r="I54" s="4">
        <v>0</v>
      </c>
      <c r="J54" s="4">
        <v>0</v>
      </c>
      <c r="K54" s="4">
        <v>0</v>
      </c>
      <c r="N54" s="1" t="s">
        <v>19</v>
      </c>
      <c r="O54">
        <v>6.6694444444444102E-3</v>
      </c>
      <c r="P54">
        <v>1.3824000000000001</v>
      </c>
      <c r="Q54">
        <v>1.3823999999999999</v>
      </c>
      <c r="R54">
        <v>2.0735999999999999</v>
      </c>
      <c r="S54">
        <v>1.3823999999999999</v>
      </c>
      <c r="T54">
        <v>2.0735999999999999</v>
      </c>
      <c r="U54">
        <v>2.0735999999999999</v>
      </c>
      <c r="V54">
        <v>0.25443292181069971</v>
      </c>
      <c r="W54" s="7">
        <v>10.629102366255143</v>
      </c>
      <c r="AC54" s="7"/>
    </row>
    <row r="55" spans="1:29" x14ac:dyDescent="0.25">
      <c r="A55" s="7"/>
      <c r="B55" s="4">
        <v>0.13634591367490825</v>
      </c>
      <c r="C55" s="1" t="s">
        <v>20</v>
      </c>
      <c r="D55" s="4">
        <v>0</v>
      </c>
      <c r="E55" s="4">
        <v>0</v>
      </c>
      <c r="F55" s="4">
        <v>0</v>
      </c>
      <c r="G55" s="4">
        <v>0</v>
      </c>
      <c r="H55" s="4">
        <v>0</v>
      </c>
      <c r="I55" s="4">
        <v>0</v>
      </c>
      <c r="J55" s="4">
        <v>0</v>
      </c>
      <c r="K55" s="4">
        <v>0</v>
      </c>
      <c r="N55" s="1" t="s">
        <v>20</v>
      </c>
      <c r="O55">
        <v>199.75739999999996</v>
      </c>
      <c r="P55">
        <v>1.7896493827160487</v>
      </c>
      <c r="Q55">
        <v>1.7896493827160496</v>
      </c>
      <c r="R55">
        <v>0.25443292181069971</v>
      </c>
      <c r="S55">
        <v>1.7896493827160496</v>
      </c>
      <c r="T55">
        <v>0.25443292181069971</v>
      </c>
      <c r="U55">
        <v>0.25443292181069971</v>
      </c>
      <c r="V55">
        <v>0.3816493827160497</v>
      </c>
      <c r="W55" s="7">
        <v>206.27129629629624</v>
      </c>
      <c r="AC55" s="7"/>
    </row>
    <row r="56" spans="1:29" x14ac:dyDescent="0.25">
      <c r="A56" s="7"/>
      <c r="O56" s="7">
        <v>231.97552083333329</v>
      </c>
      <c r="P56" s="7">
        <v>8.9436535493827165</v>
      </c>
      <c r="Q56" s="7">
        <v>8.9436535493827147</v>
      </c>
      <c r="R56" s="7">
        <v>10.629102366255143</v>
      </c>
      <c r="S56" s="7">
        <v>8.9436535493827147</v>
      </c>
      <c r="T56" s="7">
        <v>10.629102366255143</v>
      </c>
      <c r="U56" s="7">
        <v>10.629102366255143</v>
      </c>
      <c r="V56" s="7">
        <v>206.27129629629624</v>
      </c>
      <c r="W56" s="22">
        <v>496.96508487654307</v>
      </c>
      <c r="X56" t="s">
        <v>64</v>
      </c>
      <c r="AC56" s="7"/>
    </row>
    <row r="57" spans="1:29" x14ac:dyDescent="0.25">
      <c r="A57" s="7"/>
      <c r="C57" s="1" t="s">
        <v>29</v>
      </c>
      <c r="D57" s="4">
        <v>0</v>
      </c>
      <c r="E57" s="4">
        <v>0</v>
      </c>
      <c r="F57" s="4">
        <v>0</v>
      </c>
      <c r="G57" s="4">
        <v>0</v>
      </c>
      <c r="H57" s="4">
        <v>0</v>
      </c>
      <c r="I57" s="4">
        <v>0</v>
      </c>
      <c r="J57" s="4">
        <v>0</v>
      </c>
      <c r="K57" s="4">
        <v>0</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0.13634591367490825</v>
      </c>
      <c r="C59" s="1" t="s">
        <v>13</v>
      </c>
      <c r="D59" s="4">
        <v>0</v>
      </c>
      <c r="E59" s="4">
        <v>0</v>
      </c>
      <c r="F59" s="4">
        <v>0</v>
      </c>
      <c r="G59" s="4">
        <v>0</v>
      </c>
      <c r="H59" s="4">
        <v>0</v>
      </c>
      <c r="I59" s="4">
        <v>0</v>
      </c>
      <c r="J59" s="4">
        <v>0</v>
      </c>
      <c r="K59" s="4">
        <v>0</v>
      </c>
      <c r="AC59" s="7"/>
    </row>
    <row r="60" spans="1:29" x14ac:dyDescent="0.25">
      <c r="A60" s="7"/>
      <c r="B60" s="4">
        <v>4.0706486281734733E-2</v>
      </c>
      <c r="C60" s="1" t="s">
        <v>14</v>
      </c>
      <c r="D60" s="4">
        <v>0</v>
      </c>
      <c r="E60" s="4">
        <v>0</v>
      </c>
      <c r="F60" s="4">
        <v>0</v>
      </c>
      <c r="G60" s="4">
        <v>0</v>
      </c>
      <c r="H60" s="4">
        <v>0</v>
      </c>
      <c r="I60" s="4">
        <v>0</v>
      </c>
      <c r="J60" s="4">
        <v>0</v>
      </c>
      <c r="K60" s="4">
        <v>0</v>
      </c>
      <c r="O60" s="23"/>
      <c r="P60" s="23"/>
      <c r="Q60" s="23"/>
      <c r="R60" s="23"/>
      <c r="S60" s="23"/>
      <c r="T60" s="23"/>
      <c r="U60" s="23"/>
      <c r="V60" s="23"/>
      <c r="AC60" s="7"/>
    </row>
    <row r="61" spans="1:29" x14ac:dyDescent="0.25">
      <c r="A61" s="7"/>
      <c r="B61" s="4">
        <v>4.0706455299154037E-2</v>
      </c>
      <c r="C61" s="1" t="s">
        <v>15</v>
      </c>
      <c r="D61" s="4">
        <v>0</v>
      </c>
      <c r="E61" s="4">
        <v>0</v>
      </c>
      <c r="F61" s="4">
        <v>0</v>
      </c>
      <c r="G61" s="4">
        <v>0</v>
      </c>
      <c r="H61" s="4">
        <v>0</v>
      </c>
      <c r="I61" s="4">
        <v>0</v>
      </c>
      <c r="J61" s="4">
        <v>0</v>
      </c>
      <c r="K61" s="4">
        <v>0</v>
      </c>
      <c r="O61" s="23"/>
      <c r="P61" s="23"/>
      <c r="Q61" s="23"/>
      <c r="R61" s="23"/>
      <c r="S61" s="23"/>
      <c r="T61" s="23"/>
      <c r="U61" s="23"/>
      <c r="V61" s="23"/>
      <c r="AC61" s="7"/>
    </row>
    <row r="62" spans="1:29" x14ac:dyDescent="0.25">
      <c r="A62" s="7"/>
      <c r="B62" s="4">
        <v>1.2153035757007824E-2</v>
      </c>
      <c r="C62" s="1" t="s">
        <v>16</v>
      </c>
      <c r="D62" s="4">
        <v>0</v>
      </c>
      <c r="E62" s="4">
        <v>0</v>
      </c>
      <c r="F62" s="4">
        <v>0</v>
      </c>
      <c r="G62" s="4">
        <v>0</v>
      </c>
      <c r="H62" s="4">
        <v>0</v>
      </c>
      <c r="I62" s="4">
        <v>0</v>
      </c>
      <c r="J62" s="4">
        <v>0</v>
      </c>
      <c r="K62" s="4">
        <v>0</v>
      </c>
      <c r="O62" s="23"/>
      <c r="P62" s="23"/>
      <c r="Q62" s="23"/>
      <c r="R62" s="23"/>
      <c r="S62" s="23"/>
      <c r="T62" s="23"/>
      <c r="U62" s="23"/>
      <c r="V62" s="23"/>
      <c r="AC62" s="7"/>
    </row>
    <row r="63" spans="1:29" x14ac:dyDescent="0.25">
      <c r="A63" s="7"/>
      <c r="B63" s="4">
        <v>0.45668958820487282</v>
      </c>
      <c r="C63" s="1" t="s">
        <v>17</v>
      </c>
      <c r="D63" s="4">
        <v>0</v>
      </c>
      <c r="E63" s="4">
        <v>0</v>
      </c>
      <c r="F63" s="4">
        <v>0</v>
      </c>
      <c r="G63" s="4">
        <v>0</v>
      </c>
      <c r="H63" s="4">
        <v>0</v>
      </c>
      <c r="I63" s="4">
        <v>0</v>
      </c>
      <c r="J63" s="4">
        <v>0</v>
      </c>
      <c r="K63" s="4">
        <v>0</v>
      </c>
      <c r="O63" s="23"/>
      <c r="P63" s="23"/>
      <c r="Q63" s="23"/>
      <c r="R63" s="23"/>
      <c r="S63" s="23"/>
      <c r="T63" s="23"/>
      <c r="U63" s="23"/>
      <c r="V63" s="23"/>
      <c r="AC63" s="7"/>
    </row>
    <row r="64" spans="1:29" x14ac:dyDescent="0.25">
      <c r="A64" s="7"/>
      <c r="B64" s="4">
        <v>0.13634606242470693</v>
      </c>
      <c r="C64" s="1" t="s">
        <v>18</v>
      </c>
      <c r="D64" s="4">
        <v>0</v>
      </c>
      <c r="E64" s="4">
        <v>0</v>
      </c>
      <c r="F64" s="4">
        <v>0</v>
      </c>
      <c r="G64" s="4">
        <v>0</v>
      </c>
      <c r="H64" s="4">
        <v>0</v>
      </c>
      <c r="I64" s="4">
        <v>0</v>
      </c>
      <c r="J64" s="4">
        <v>0</v>
      </c>
      <c r="K64" s="4">
        <v>0</v>
      </c>
      <c r="O64" s="23"/>
      <c r="P64" s="23"/>
      <c r="Q64" s="23"/>
      <c r="R64" s="23"/>
      <c r="S64" s="23"/>
      <c r="T64" s="23"/>
      <c r="U64" s="23"/>
      <c r="V64" s="23"/>
      <c r="AC64" s="7"/>
    </row>
    <row r="65" spans="1:29" x14ac:dyDescent="0.25">
      <c r="A65" s="7"/>
      <c r="B65" s="4">
        <v>0.1363459586487914</v>
      </c>
      <c r="C65" s="1" t="s">
        <v>19</v>
      </c>
      <c r="D65" s="4">
        <v>0</v>
      </c>
      <c r="E65" s="4">
        <v>0</v>
      </c>
      <c r="F65" s="4">
        <v>0</v>
      </c>
      <c r="G65" s="4">
        <v>0</v>
      </c>
      <c r="H65" s="4">
        <v>0</v>
      </c>
      <c r="I65" s="4">
        <v>0</v>
      </c>
      <c r="J65" s="4">
        <v>0</v>
      </c>
      <c r="K65" s="4">
        <v>0</v>
      </c>
      <c r="O65" s="23"/>
      <c r="P65" s="23"/>
      <c r="Q65" s="23"/>
      <c r="R65" s="23"/>
      <c r="S65" s="23"/>
      <c r="T65" s="23"/>
      <c r="U65" s="23"/>
      <c r="V65" s="23"/>
      <c r="AC65" s="7"/>
    </row>
    <row r="66" spans="1:29" x14ac:dyDescent="0.25">
      <c r="A66" s="7"/>
      <c r="B66" s="4">
        <v>4.070649970882402E-2</v>
      </c>
      <c r="C66" s="1" t="s">
        <v>20</v>
      </c>
      <c r="D66" s="4">
        <v>0</v>
      </c>
      <c r="E66" s="4">
        <v>0</v>
      </c>
      <c r="F66" s="4">
        <v>0</v>
      </c>
      <c r="G66" s="4">
        <v>0</v>
      </c>
      <c r="H66" s="4">
        <v>0</v>
      </c>
      <c r="I66" s="4">
        <v>0</v>
      </c>
      <c r="J66" s="4">
        <v>0</v>
      </c>
      <c r="K66" s="4">
        <v>0</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0</v>
      </c>
      <c r="E68" s="4">
        <v>0</v>
      </c>
      <c r="F68" s="4">
        <v>0</v>
      </c>
      <c r="G68" s="4">
        <v>0</v>
      </c>
      <c r="H68" s="4">
        <v>0</v>
      </c>
      <c r="I68" s="4">
        <v>0</v>
      </c>
      <c r="J68" s="4">
        <v>0</v>
      </c>
      <c r="K68" s="4">
        <v>0</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4.0706486281734733E-2</v>
      </c>
      <c r="C70" s="1" t="s">
        <v>13</v>
      </c>
      <c r="D70" s="4">
        <v>0</v>
      </c>
      <c r="E70" s="4">
        <v>0</v>
      </c>
      <c r="F70" s="4">
        <v>0</v>
      </c>
      <c r="G70" s="4">
        <v>0</v>
      </c>
      <c r="H70" s="4">
        <v>0</v>
      </c>
      <c r="I70" s="4">
        <v>0</v>
      </c>
      <c r="J70" s="4">
        <v>0</v>
      </c>
      <c r="K70" s="4">
        <v>0</v>
      </c>
      <c r="AC70" s="7"/>
    </row>
    <row r="71" spans="1:29" x14ac:dyDescent="0.25">
      <c r="A71" s="7"/>
      <c r="B71" s="4">
        <v>0.13634591367490825</v>
      </c>
      <c r="C71" s="1" t="s">
        <v>14</v>
      </c>
      <c r="D71" s="4">
        <v>0</v>
      </c>
      <c r="E71" s="4">
        <v>0</v>
      </c>
      <c r="F71" s="4">
        <v>0</v>
      </c>
      <c r="G71" s="4">
        <v>0</v>
      </c>
      <c r="H71" s="4">
        <v>0</v>
      </c>
      <c r="I71" s="4">
        <v>0</v>
      </c>
      <c r="J71" s="4">
        <v>0</v>
      </c>
      <c r="K71" s="4">
        <v>0</v>
      </c>
      <c r="AC71" s="7"/>
    </row>
    <row r="72" spans="1:29" x14ac:dyDescent="0.25">
      <c r="A72" s="7"/>
      <c r="B72" s="4">
        <v>1.2153035757007824E-2</v>
      </c>
      <c r="C72" s="1" t="s">
        <v>15</v>
      </c>
      <c r="D72" s="4">
        <v>0</v>
      </c>
      <c r="E72" s="4">
        <v>0</v>
      </c>
      <c r="F72" s="4">
        <v>0</v>
      </c>
      <c r="G72" s="4">
        <v>0</v>
      </c>
      <c r="H72" s="4">
        <v>0</v>
      </c>
      <c r="I72" s="4">
        <v>0</v>
      </c>
      <c r="J72" s="4">
        <v>0</v>
      </c>
      <c r="K72" s="4">
        <v>0</v>
      </c>
      <c r="AC72" s="7"/>
    </row>
    <row r="73" spans="1:29" x14ac:dyDescent="0.25">
      <c r="A73" s="7"/>
      <c r="B73" s="4">
        <v>4.0706455299154037E-2</v>
      </c>
      <c r="C73" s="1" t="s">
        <v>16</v>
      </c>
      <c r="D73" s="4">
        <v>0</v>
      </c>
      <c r="E73" s="4">
        <v>0</v>
      </c>
      <c r="F73" s="4">
        <v>0</v>
      </c>
      <c r="G73" s="4">
        <v>0</v>
      </c>
      <c r="H73" s="4">
        <v>0</v>
      </c>
      <c r="I73" s="4">
        <v>0</v>
      </c>
      <c r="J73" s="4">
        <v>0</v>
      </c>
      <c r="K73" s="4">
        <v>0</v>
      </c>
      <c r="AC73" s="7"/>
    </row>
    <row r="74" spans="1:29" x14ac:dyDescent="0.25">
      <c r="A74" s="7"/>
      <c r="B74" s="4">
        <v>0.13634606242470693</v>
      </c>
      <c r="C74" s="1" t="s">
        <v>17</v>
      </c>
      <c r="D74" s="4">
        <v>0</v>
      </c>
      <c r="E74" s="4">
        <v>0</v>
      </c>
      <c r="F74" s="4">
        <v>0</v>
      </c>
      <c r="G74" s="4">
        <v>0</v>
      </c>
      <c r="H74" s="4">
        <v>0</v>
      </c>
      <c r="I74" s="4">
        <v>0</v>
      </c>
      <c r="J74" s="4">
        <v>0</v>
      </c>
      <c r="K74" s="4">
        <v>0</v>
      </c>
      <c r="AC74" s="7"/>
    </row>
    <row r="75" spans="1:29" x14ac:dyDescent="0.25">
      <c r="A75" s="7"/>
      <c r="B75" s="4">
        <v>0.45668958820487282</v>
      </c>
      <c r="C75" s="1" t="s">
        <v>18</v>
      </c>
      <c r="D75" s="4">
        <v>0</v>
      </c>
      <c r="E75" s="4">
        <v>0</v>
      </c>
      <c r="F75" s="4">
        <v>0</v>
      </c>
      <c r="G75" s="4">
        <v>0</v>
      </c>
      <c r="H75" s="4">
        <v>0</v>
      </c>
      <c r="I75" s="4">
        <v>0</v>
      </c>
      <c r="J75" s="4">
        <v>0</v>
      </c>
      <c r="K75" s="4">
        <v>0</v>
      </c>
      <c r="AC75" s="7"/>
    </row>
    <row r="76" spans="1:29" x14ac:dyDescent="0.25">
      <c r="A76" s="7"/>
      <c r="B76" s="4">
        <v>4.070649970882402E-2</v>
      </c>
      <c r="C76" s="1" t="s">
        <v>19</v>
      </c>
      <c r="D76" s="4">
        <v>0</v>
      </c>
      <c r="E76" s="4">
        <v>0</v>
      </c>
      <c r="F76" s="4">
        <v>0</v>
      </c>
      <c r="G76" s="4">
        <v>0</v>
      </c>
      <c r="H76" s="4">
        <v>0</v>
      </c>
      <c r="I76" s="4">
        <v>0</v>
      </c>
      <c r="J76" s="4">
        <v>0</v>
      </c>
      <c r="K76" s="4">
        <v>0</v>
      </c>
      <c r="AC76" s="7"/>
    </row>
    <row r="77" spans="1:29" x14ac:dyDescent="0.25">
      <c r="A77" s="7"/>
      <c r="B77" s="4">
        <v>0.1363459586487914</v>
      </c>
      <c r="C77" s="1" t="s">
        <v>20</v>
      </c>
      <c r="D77" s="4">
        <v>0</v>
      </c>
      <c r="E77" s="4">
        <v>0</v>
      </c>
      <c r="F77" s="4">
        <v>0</v>
      </c>
      <c r="G77" s="4">
        <v>0</v>
      </c>
      <c r="H77" s="4">
        <v>0</v>
      </c>
      <c r="I77" s="4">
        <v>0</v>
      </c>
      <c r="J77" s="4">
        <v>0</v>
      </c>
      <c r="K77" s="4">
        <v>0</v>
      </c>
      <c r="AC77" s="7"/>
    </row>
    <row r="78" spans="1:29" x14ac:dyDescent="0.25">
      <c r="A78" s="7"/>
      <c r="AC78" s="7"/>
    </row>
    <row r="79" spans="1:29" x14ac:dyDescent="0.25">
      <c r="A79" s="7"/>
      <c r="C79" s="1" t="s">
        <v>31</v>
      </c>
      <c r="D79" s="4">
        <v>0</v>
      </c>
      <c r="E79" s="4">
        <v>0</v>
      </c>
      <c r="F79" s="4">
        <v>0</v>
      </c>
      <c r="G79" s="4">
        <v>0</v>
      </c>
      <c r="H79" s="4">
        <v>0</v>
      </c>
      <c r="I79" s="4">
        <v>0</v>
      </c>
      <c r="J79" s="4">
        <v>0</v>
      </c>
      <c r="K79" s="4">
        <v>0</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4.0706455299154037E-2</v>
      </c>
      <c r="C81" s="1" t="s">
        <v>13</v>
      </c>
      <c r="D81" s="4">
        <v>0</v>
      </c>
      <c r="E81" s="4">
        <v>0</v>
      </c>
      <c r="F81" s="4">
        <v>0</v>
      </c>
      <c r="G81" s="4">
        <v>0</v>
      </c>
      <c r="H81" s="4">
        <v>0</v>
      </c>
      <c r="I81" s="4">
        <v>0</v>
      </c>
      <c r="J81" s="4">
        <v>0</v>
      </c>
      <c r="K81" s="4">
        <v>0</v>
      </c>
      <c r="AC81" s="7"/>
    </row>
    <row r="82" spans="1:29" x14ac:dyDescent="0.25">
      <c r="A82" s="7"/>
      <c r="B82" s="4">
        <v>1.2153035757007824E-2</v>
      </c>
      <c r="C82" s="1" t="s">
        <v>14</v>
      </c>
      <c r="D82" s="4">
        <v>0</v>
      </c>
      <c r="E82" s="4">
        <v>0</v>
      </c>
      <c r="F82" s="4">
        <v>0</v>
      </c>
      <c r="G82" s="4">
        <v>0</v>
      </c>
      <c r="H82" s="4">
        <v>0</v>
      </c>
      <c r="I82" s="4">
        <v>0</v>
      </c>
      <c r="J82" s="4">
        <v>0</v>
      </c>
      <c r="K82" s="4">
        <v>0</v>
      </c>
      <c r="AC82" s="7"/>
    </row>
    <row r="83" spans="1:29" x14ac:dyDescent="0.25">
      <c r="A83" s="7"/>
      <c r="B83" s="4">
        <v>0.13634591367490825</v>
      </c>
      <c r="C83" s="1" t="s">
        <v>15</v>
      </c>
      <c r="D83" s="4">
        <v>0</v>
      </c>
      <c r="E83" s="4">
        <v>0</v>
      </c>
      <c r="F83" s="4">
        <v>0</v>
      </c>
      <c r="G83" s="4">
        <v>0</v>
      </c>
      <c r="H83" s="4">
        <v>0</v>
      </c>
      <c r="I83" s="4">
        <v>0</v>
      </c>
      <c r="J83" s="4">
        <v>0</v>
      </c>
      <c r="K83" s="4">
        <v>0</v>
      </c>
      <c r="AC83" s="7"/>
    </row>
    <row r="84" spans="1:29" x14ac:dyDescent="0.25">
      <c r="A84" s="7"/>
      <c r="B84" s="4">
        <v>4.0706486281734733E-2</v>
      </c>
      <c r="C84" s="1" t="s">
        <v>16</v>
      </c>
      <c r="D84" s="4">
        <v>0</v>
      </c>
      <c r="E84" s="4">
        <v>0</v>
      </c>
      <c r="F84" s="4">
        <v>0</v>
      </c>
      <c r="G84" s="4">
        <v>0</v>
      </c>
      <c r="H84" s="4">
        <v>0</v>
      </c>
      <c r="I84" s="4">
        <v>0</v>
      </c>
      <c r="J84" s="4">
        <v>0</v>
      </c>
      <c r="K84" s="4">
        <v>0</v>
      </c>
      <c r="AC84" s="7"/>
    </row>
    <row r="85" spans="1:29" x14ac:dyDescent="0.25">
      <c r="A85" s="7"/>
      <c r="B85" s="4">
        <v>0.1363459586487914</v>
      </c>
      <c r="C85" s="1" t="s">
        <v>17</v>
      </c>
      <c r="D85" s="4">
        <v>0</v>
      </c>
      <c r="E85" s="4">
        <v>0</v>
      </c>
      <c r="F85" s="4">
        <v>0</v>
      </c>
      <c r="G85" s="4">
        <v>0</v>
      </c>
      <c r="H85" s="4">
        <v>0</v>
      </c>
      <c r="I85" s="4">
        <v>0</v>
      </c>
      <c r="J85" s="4">
        <v>0</v>
      </c>
      <c r="K85" s="4">
        <v>0</v>
      </c>
      <c r="AC85" s="7"/>
    </row>
    <row r="86" spans="1:29" x14ac:dyDescent="0.25">
      <c r="A86" s="7"/>
      <c r="B86" s="4">
        <v>4.070649970882402E-2</v>
      </c>
      <c r="C86" s="1" t="s">
        <v>18</v>
      </c>
      <c r="D86" s="4">
        <v>0</v>
      </c>
      <c r="E86" s="4">
        <v>0</v>
      </c>
      <c r="F86" s="4">
        <v>0</v>
      </c>
      <c r="G86" s="4">
        <v>0</v>
      </c>
      <c r="H86" s="4">
        <v>0</v>
      </c>
      <c r="I86" s="4">
        <v>0</v>
      </c>
      <c r="J86" s="4">
        <v>0</v>
      </c>
      <c r="K86" s="4">
        <v>0</v>
      </c>
      <c r="AC86" s="7"/>
    </row>
    <row r="87" spans="1:29" x14ac:dyDescent="0.25">
      <c r="A87" s="7"/>
      <c r="B87" s="4">
        <v>0.45668958820487282</v>
      </c>
      <c r="C87" s="1" t="s">
        <v>19</v>
      </c>
      <c r="D87" s="4">
        <v>0</v>
      </c>
      <c r="E87" s="4">
        <v>0</v>
      </c>
      <c r="F87" s="4">
        <v>0</v>
      </c>
      <c r="G87" s="4">
        <v>0</v>
      </c>
      <c r="H87" s="4">
        <v>0</v>
      </c>
      <c r="I87" s="4">
        <v>0</v>
      </c>
      <c r="J87" s="4">
        <v>0</v>
      </c>
      <c r="K87" s="4">
        <v>0</v>
      </c>
      <c r="AC87" s="7"/>
    </row>
    <row r="88" spans="1:29" x14ac:dyDescent="0.25">
      <c r="A88" s="7"/>
      <c r="B88" s="4">
        <v>0.13634606242470693</v>
      </c>
      <c r="C88" s="1" t="s">
        <v>20</v>
      </c>
      <c r="D88" s="4">
        <v>0</v>
      </c>
      <c r="E88" s="4">
        <v>0</v>
      </c>
      <c r="F88" s="4">
        <v>0</v>
      </c>
      <c r="G88" s="4">
        <v>0</v>
      </c>
      <c r="H88" s="4">
        <v>0</v>
      </c>
      <c r="I88" s="4">
        <v>0</v>
      </c>
      <c r="J88" s="4">
        <v>0</v>
      </c>
      <c r="K88" s="4">
        <v>0</v>
      </c>
      <c r="AC88" s="7"/>
    </row>
    <row r="89" spans="1:29" x14ac:dyDescent="0.25">
      <c r="A89" s="7"/>
      <c r="AC89" s="7"/>
    </row>
    <row r="90" spans="1:29" x14ac:dyDescent="0.25">
      <c r="A90" s="7"/>
      <c r="C90" s="1" t="s">
        <v>32</v>
      </c>
      <c r="D90" s="4">
        <v>7.8438317101896683E-3</v>
      </c>
      <c r="E90" s="4">
        <v>2.627282526514475E-2</v>
      </c>
      <c r="F90" s="4">
        <v>2.6272845261971371E-2</v>
      </c>
      <c r="G90" s="4">
        <v>8.8000596939027023E-2</v>
      </c>
      <c r="H90" s="4">
        <v>2.6272853928104738E-2</v>
      </c>
      <c r="I90" s="4">
        <v>8.8000625966142346E-2</v>
      </c>
      <c r="J90" s="4">
        <v>8.8000692945359171E-2</v>
      </c>
      <c r="K90" s="4">
        <v>0.29475732198099031</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1.2153035757007824E-2</v>
      </c>
      <c r="C92" s="1" t="s">
        <v>13</v>
      </c>
      <c r="D92" s="4">
        <v>9.5326367245886874E-5</v>
      </c>
      <c r="E92" s="4">
        <v>3.1929458488492269E-4</v>
      </c>
      <c r="F92" s="4">
        <v>3.1929482790707164E-4</v>
      </c>
      <c r="G92" s="4">
        <v>1.0694744012380286E-3</v>
      </c>
      <c r="H92" s="4">
        <v>3.1929493322690035E-4</v>
      </c>
      <c r="I92" s="4">
        <v>1.0694747540055992E-3</v>
      </c>
      <c r="J92" s="4">
        <v>1.0694755680064163E-3</v>
      </c>
      <c r="K92" s="4">
        <v>3.5821962736748434E-3</v>
      </c>
      <c r="AC92" s="7"/>
    </row>
    <row r="93" spans="1:29" x14ac:dyDescent="0.25">
      <c r="A93" s="7"/>
      <c r="B93" s="4">
        <v>4.0706455299154037E-2</v>
      </c>
      <c r="C93" s="1" t="s">
        <v>14</v>
      </c>
      <c r="D93" s="4">
        <v>3.1929458488492269E-4</v>
      </c>
      <c r="E93" s="4">
        <v>1.0694735872380995E-3</v>
      </c>
      <c r="F93" s="4">
        <v>1.0694744012380286E-3</v>
      </c>
      <c r="G93" s="4">
        <v>3.582192365597375E-3</v>
      </c>
      <c r="H93" s="4">
        <v>1.069474754005599E-3</v>
      </c>
      <c r="I93" s="4">
        <v>3.5821935471883476E-3</v>
      </c>
      <c r="J93" s="4">
        <v>3.5821962736748429E-3</v>
      </c>
      <c r="K93" s="4">
        <v>1.1998525751317535E-2</v>
      </c>
      <c r="AC93" s="7"/>
    </row>
    <row r="94" spans="1:29" x14ac:dyDescent="0.25">
      <c r="A94" s="7"/>
      <c r="B94" s="4">
        <v>4.0706486281734733E-2</v>
      </c>
      <c r="C94" s="1" t="s">
        <v>15</v>
      </c>
      <c r="D94" s="4">
        <v>3.1929482790707164E-4</v>
      </c>
      <c r="E94" s="4">
        <v>1.0694744012380284E-3</v>
      </c>
      <c r="F94" s="4">
        <v>1.069475215238577E-3</v>
      </c>
      <c r="G94" s="4">
        <v>3.5821950920829708E-3</v>
      </c>
      <c r="H94" s="4">
        <v>1.0694755680064161E-3</v>
      </c>
      <c r="I94" s="4">
        <v>3.5821962736748425E-3</v>
      </c>
      <c r="J94" s="4">
        <v>3.5821990001634134E-3</v>
      </c>
      <c r="K94" s="4">
        <v>1.199853488366005E-2</v>
      </c>
      <c r="AC94" s="7"/>
    </row>
    <row r="95" spans="1:29" x14ac:dyDescent="0.25">
      <c r="A95" s="7"/>
      <c r="B95" s="4">
        <v>0.13634591367490825</v>
      </c>
      <c r="C95" s="1" t="s">
        <v>16</v>
      </c>
      <c r="D95" s="4">
        <v>1.0694744012380284E-3</v>
      </c>
      <c r="E95" s="4">
        <v>3.5821923655973745E-3</v>
      </c>
      <c r="F95" s="4">
        <v>3.5821950920829708E-3</v>
      </c>
      <c r="G95" s="4">
        <v>1.1998521793588974E-2</v>
      </c>
      <c r="H95" s="4">
        <v>3.5821962736748429E-3</v>
      </c>
      <c r="I95" s="4">
        <v>1.1998525751317534E-2</v>
      </c>
      <c r="J95" s="4">
        <v>1.199853488366005E-2</v>
      </c>
      <c r="K95" s="4">
        <v>4.0188956377867242E-2</v>
      </c>
      <c r="AC95" s="7"/>
    </row>
    <row r="96" spans="1:29" x14ac:dyDescent="0.25">
      <c r="A96" s="7"/>
      <c r="B96" s="4">
        <v>4.070649970882402E-2</v>
      </c>
      <c r="C96" s="1" t="s">
        <v>17</v>
      </c>
      <c r="D96" s="4">
        <v>3.1929493322690035E-4</v>
      </c>
      <c r="E96" s="4">
        <v>1.0694747540055992E-3</v>
      </c>
      <c r="F96" s="4">
        <v>1.0694755680064161E-3</v>
      </c>
      <c r="G96" s="4">
        <v>3.5821962736748434E-3</v>
      </c>
      <c r="H96" s="4">
        <v>1.0694759207743715E-3</v>
      </c>
      <c r="I96" s="4">
        <v>3.5821974552671049E-3</v>
      </c>
      <c r="J96" s="4">
        <v>3.5822001817565753E-3</v>
      </c>
      <c r="K96" s="4">
        <v>1.1998538841392931E-2</v>
      </c>
      <c r="AC96" s="7"/>
    </row>
    <row r="97" spans="1:29" x14ac:dyDescent="0.25">
      <c r="A97" s="7"/>
      <c r="B97" s="4">
        <v>0.1363459586487914</v>
      </c>
      <c r="C97" s="1" t="s">
        <v>18</v>
      </c>
      <c r="D97" s="4">
        <v>1.0694747540055992E-3</v>
      </c>
      <c r="E97" s="4">
        <v>3.582193547188348E-3</v>
      </c>
      <c r="F97" s="4">
        <v>3.5821962736748438E-3</v>
      </c>
      <c r="G97" s="4">
        <v>1.1998525751317537E-2</v>
      </c>
      <c r="H97" s="4">
        <v>3.5821974552671053E-3</v>
      </c>
      <c r="I97" s="4">
        <v>1.1998529709047403E-2</v>
      </c>
      <c r="J97" s="4">
        <v>1.1998538841392931E-2</v>
      </c>
      <c r="K97" s="4">
        <v>4.0188969634248596E-2</v>
      </c>
      <c r="AC97" s="7"/>
    </row>
    <row r="98" spans="1:29" x14ac:dyDescent="0.25">
      <c r="A98" s="7"/>
      <c r="B98" s="4">
        <v>0.13634606242470693</v>
      </c>
      <c r="C98" s="1" t="s">
        <v>19</v>
      </c>
      <c r="D98" s="4">
        <v>1.0694755680064163E-3</v>
      </c>
      <c r="E98" s="4">
        <v>3.5821962736748434E-3</v>
      </c>
      <c r="F98" s="4">
        <v>3.5821990001634143E-3</v>
      </c>
      <c r="G98" s="4">
        <v>1.1998534883660051E-2</v>
      </c>
      <c r="H98" s="4">
        <v>3.5822001817565753E-3</v>
      </c>
      <c r="I98" s="4">
        <v>1.1998538841392929E-2</v>
      </c>
      <c r="J98" s="4">
        <v>1.1998547973745407E-2</v>
      </c>
      <c r="K98" s="4">
        <v>4.0189000222959542E-2</v>
      </c>
      <c r="AC98" s="7"/>
    </row>
    <row r="99" spans="1:29" x14ac:dyDescent="0.25">
      <c r="A99" s="7"/>
      <c r="B99" s="4">
        <v>0.45668958820487282</v>
      </c>
      <c r="C99" s="1" t="s">
        <v>20</v>
      </c>
      <c r="D99" s="4">
        <v>3.5821962736748429E-3</v>
      </c>
      <c r="E99" s="4">
        <v>1.1998525751317534E-2</v>
      </c>
      <c r="F99" s="4">
        <v>1.199853488366005E-2</v>
      </c>
      <c r="G99" s="4">
        <v>4.0188956377867242E-2</v>
      </c>
      <c r="H99" s="4">
        <v>1.1998538841392927E-2</v>
      </c>
      <c r="I99" s="4">
        <v>4.0188969634248589E-2</v>
      </c>
      <c r="J99" s="4">
        <v>4.0189000222959535E-2</v>
      </c>
      <c r="K99" s="4">
        <v>0.13461259999586958</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7.4048112581071357E-2</v>
      </c>
      <c r="E103" s="4">
        <v>2.2398123325486512E-2</v>
      </c>
      <c r="F103" s="4">
        <v>2.239810676383806E-2</v>
      </c>
      <c r="G103" s="4">
        <v>7.6611707048755704E-3</v>
      </c>
      <c r="H103" s="4">
        <v>2.2398099586434458E-2</v>
      </c>
      <c r="I103" s="4">
        <v>7.6611688833639587E-3</v>
      </c>
      <c r="J103" s="4">
        <v>7.6611646802848474E-3</v>
      </c>
      <c r="K103" s="4">
        <v>5.5501650612264277E-3</v>
      </c>
      <c r="L103" s="7">
        <v>0.16977611158658124</v>
      </c>
      <c r="AC103" s="7"/>
    </row>
    <row r="104" spans="1:29" x14ac:dyDescent="0.25">
      <c r="A104" s="7"/>
      <c r="C104" s="1" t="s">
        <v>14</v>
      </c>
      <c r="D104" s="4">
        <v>2.2398123325486515E-2</v>
      </c>
      <c r="E104" s="4">
        <v>7.6611749079610447E-3</v>
      </c>
      <c r="F104" s="4">
        <v>7.6611707048755704E-3</v>
      </c>
      <c r="G104" s="4">
        <v>5.550163300151045E-3</v>
      </c>
      <c r="H104" s="4">
        <v>7.6611688833639596E-3</v>
      </c>
      <c r="I104" s="4">
        <v>5.5501638326043694E-3</v>
      </c>
      <c r="J104" s="4">
        <v>5.5501650612264277E-3</v>
      </c>
      <c r="K104" s="4">
        <v>1.2586068804821552E-2</v>
      </c>
      <c r="L104" s="7">
        <v>7.4618198820490492E-2</v>
      </c>
      <c r="T104" s="6"/>
      <c r="AC104" s="7"/>
    </row>
    <row r="105" spans="1:29" x14ac:dyDescent="0.25">
      <c r="A105" s="7"/>
      <c r="C105" s="1" t="s">
        <v>15</v>
      </c>
      <c r="D105" s="4">
        <v>2.2398106763838067E-2</v>
      </c>
      <c r="E105" s="4">
        <v>7.6611707048755712E-3</v>
      </c>
      <c r="F105" s="4">
        <v>7.6611665017945352E-3</v>
      </c>
      <c r="G105" s="4">
        <v>5.5501645287717085E-3</v>
      </c>
      <c r="H105" s="4">
        <v>7.6611646802848474E-3</v>
      </c>
      <c r="I105" s="4">
        <v>5.5501650612264268E-3</v>
      </c>
      <c r="J105" s="4">
        <v>5.5501662898517004E-3</v>
      </c>
      <c r="K105" s="4">
        <v>1.2586077489972433E-2</v>
      </c>
      <c r="L105" s="7">
        <v>7.4618182020615292E-2</v>
      </c>
      <c r="AC105" s="7"/>
    </row>
    <row r="106" spans="1:29" x14ac:dyDescent="0.25">
      <c r="A106" s="7"/>
      <c r="C106" s="1" t="s">
        <v>16</v>
      </c>
      <c r="D106" s="4">
        <v>7.6611707048755695E-3</v>
      </c>
      <c r="E106" s="4">
        <v>5.5501633001510441E-3</v>
      </c>
      <c r="F106" s="4">
        <v>5.5501645287717085E-3</v>
      </c>
      <c r="G106" s="4">
        <v>1.2586065040894857E-2</v>
      </c>
      <c r="H106" s="4">
        <v>5.5501650612264277E-3</v>
      </c>
      <c r="I106" s="4">
        <v>1.258606880482155E-2</v>
      </c>
      <c r="J106" s="4">
        <v>1.2586077489972433E-2</v>
      </c>
      <c r="K106" s="4">
        <v>4.0364369005933348E-2</v>
      </c>
      <c r="L106" s="7">
        <v>0.10243424393664693</v>
      </c>
      <c r="AC106" s="7"/>
    </row>
    <row r="107" spans="1:29" x14ac:dyDescent="0.25">
      <c r="A107" s="7"/>
      <c r="C107" s="1" t="s">
        <v>17</v>
      </c>
      <c r="D107" s="4">
        <v>2.2398099586434461E-2</v>
      </c>
      <c r="E107" s="4">
        <v>7.6611688833639604E-3</v>
      </c>
      <c r="F107" s="4">
        <v>7.6611646802848474E-3</v>
      </c>
      <c r="G107" s="4">
        <v>5.5501650612264277E-3</v>
      </c>
      <c r="H107" s="4">
        <v>7.6611628587759939E-3</v>
      </c>
      <c r="I107" s="4">
        <v>5.5501655936817506E-3</v>
      </c>
      <c r="J107" s="4">
        <v>5.5501668223084171E-3</v>
      </c>
      <c r="K107" s="4">
        <v>1.2586081253903659E-2</v>
      </c>
      <c r="L107" s="7">
        <v>7.4618174739979518E-2</v>
      </c>
      <c r="AC107" s="7"/>
    </row>
    <row r="108" spans="1:29" x14ac:dyDescent="0.25">
      <c r="A108" s="7"/>
      <c r="C108" s="1" t="s">
        <v>18</v>
      </c>
      <c r="D108" s="4">
        <v>7.6611688833639604E-3</v>
      </c>
      <c r="E108" s="4">
        <v>5.5501638326043703E-3</v>
      </c>
      <c r="F108" s="4">
        <v>5.5501650612264277E-3</v>
      </c>
      <c r="G108" s="4">
        <v>1.2586068804821554E-2</v>
      </c>
      <c r="H108" s="4">
        <v>5.5501655936817506E-3</v>
      </c>
      <c r="I108" s="4">
        <v>1.2586072568749617E-2</v>
      </c>
      <c r="J108" s="4">
        <v>1.2586081253903659E-2</v>
      </c>
      <c r="K108" s="4">
        <v>4.0364382204454624E-2</v>
      </c>
      <c r="L108" s="7">
        <v>0.10243426820280596</v>
      </c>
      <c r="AC108" s="7"/>
    </row>
    <row r="109" spans="1:29" x14ac:dyDescent="0.25">
      <c r="A109" s="7"/>
      <c r="C109" s="1" t="s">
        <v>19</v>
      </c>
      <c r="D109" s="4">
        <v>7.6611646802848491E-3</v>
      </c>
      <c r="E109" s="4">
        <v>5.5501650612264277E-3</v>
      </c>
      <c r="F109" s="4">
        <v>5.5501662898517013E-3</v>
      </c>
      <c r="G109" s="4">
        <v>1.2586077489972435E-2</v>
      </c>
      <c r="H109" s="4">
        <v>5.5501668223084171E-3</v>
      </c>
      <c r="I109" s="4">
        <v>1.2586081253903657E-2</v>
      </c>
      <c r="J109" s="4">
        <v>1.2586089939064991E-2</v>
      </c>
      <c r="K109" s="4">
        <v>4.0364412659655298E-2</v>
      </c>
      <c r="L109" s="7">
        <v>0.10243432419626777</v>
      </c>
      <c r="AC109" s="7"/>
    </row>
    <row r="110" spans="1:29" x14ac:dyDescent="0.25">
      <c r="A110" s="7"/>
      <c r="C110" s="1" t="s">
        <v>20</v>
      </c>
      <c r="D110" s="4">
        <v>5.5501650612264277E-3</v>
      </c>
      <c r="E110" s="4">
        <v>1.258606880482155E-2</v>
      </c>
      <c r="F110" s="4">
        <v>1.2586077489972433E-2</v>
      </c>
      <c r="G110" s="4">
        <v>4.0364369005933348E-2</v>
      </c>
      <c r="H110" s="4">
        <v>1.2586081253903656E-2</v>
      </c>
      <c r="I110" s="4">
        <v>4.0364382204454617E-2</v>
      </c>
      <c r="J110" s="4">
        <v>4.0364412659655291E-2</v>
      </c>
      <c r="K110" s="4">
        <v>0.13466496991115012</v>
      </c>
      <c r="L110" s="7">
        <v>0.29906652639111742</v>
      </c>
      <c r="AC110" s="7"/>
    </row>
    <row r="111" spans="1:29" x14ac:dyDescent="0.25">
      <c r="A111" s="7"/>
      <c r="D111" s="3">
        <v>0.16977611158658121</v>
      </c>
      <c r="E111" s="3">
        <v>7.4618198820490492E-2</v>
      </c>
      <c r="F111" s="3">
        <v>7.4618182020615292E-2</v>
      </c>
      <c r="G111" s="3">
        <v>0.10243424393664695</v>
      </c>
      <c r="H111" s="3">
        <v>7.4618174739979518E-2</v>
      </c>
      <c r="I111" s="3">
        <v>0.10243426820280596</v>
      </c>
      <c r="J111" s="3">
        <v>0.10243432419626777</v>
      </c>
      <c r="K111" s="3">
        <v>0.29906652639111747</v>
      </c>
      <c r="L111" s="7">
        <v>1.0000000298945046</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0.57855329353017071</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0.5785532765446475</v>
      </c>
      <c r="R114" t="s">
        <v>58</v>
      </c>
      <c r="W114" s="1" t="s">
        <v>45</v>
      </c>
      <c r="X114" s="7" t="s">
        <v>47</v>
      </c>
      <c r="Y114" s="7" t="s">
        <v>48</v>
      </c>
      <c r="Z114" s="7" t="s">
        <v>49</v>
      </c>
      <c r="AA114" s="7" t="s">
        <v>50</v>
      </c>
      <c r="AB114" s="7"/>
      <c r="AC114" s="7"/>
    </row>
    <row r="115" spans="1:29" x14ac:dyDescent="0.25">
      <c r="A115" s="7"/>
      <c r="C115" s="1" t="s">
        <v>13</v>
      </c>
      <c r="D115" s="5">
        <v>7.4048112581071361</v>
      </c>
      <c r="E115" s="5">
        <v>2.239812332548651</v>
      </c>
      <c r="F115" s="5">
        <v>2.2398106763838062</v>
      </c>
      <c r="G115" s="5">
        <v>0.76611707048755706</v>
      </c>
      <c r="H115" s="5">
        <v>2.2398099586434457</v>
      </c>
      <c r="I115" s="5">
        <v>0.76611688833639591</v>
      </c>
      <c r="J115" s="5">
        <v>0.76611646802848477</v>
      </c>
      <c r="K115" s="5">
        <v>0.55501650612264275</v>
      </c>
      <c r="L115" s="13">
        <v>16.977611158658121</v>
      </c>
      <c r="N115" t="s">
        <v>38</v>
      </c>
      <c r="O115" s="8">
        <v>0.57855323735106079</v>
      </c>
      <c r="W115" s="1" t="s">
        <v>13</v>
      </c>
      <c r="X115" s="5">
        <v>16.977611158658121</v>
      </c>
      <c r="Y115" s="5">
        <v>7.4048112581071361</v>
      </c>
      <c r="Z115" s="5">
        <v>9.5727999005509847</v>
      </c>
      <c r="AA115" s="8">
        <v>1.5655685606626129</v>
      </c>
      <c r="AB115" s="8">
        <v>21.743283560911102</v>
      </c>
      <c r="AC115" s="7"/>
    </row>
    <row r="116" spans="1:29" x14ac:dyDescent="0.25">
      <c r="A116" s="7"/>
      <c r="C116" s="1" t="s">
        <v>14</v>
      </c>
      <c r="D116" s="5">
        <v>2.2398123325486514</v>
      </c>
      <c r="E116" s="5">
        <v>0.76611749079610447</v>
      </c>
      <c r="F116" s="5">
        <v>0.76611707048755706</v>
      </c>
      <c r="G116" s="5">
        <v>0.55501633001510453</v>
      </c>
      <c r="H116" s="5">
        <v>0.76611688833639591</v>
      </c>
      <c r="I116" s="5">
        <v>0.5550163832604369</v>
      </c>
      <c r="J116" s="5">
        <v>0.55501650612264275</v>
      </c>
      <c r="K116" s="5">
        <v>1.2586068804821553</v>
      </c>
      <c r="L116" s="13">
        <v>7.4618198820490482</v>
      </c>
      <c r="M116" s="10" t="s">
        <v>39</v>
      </c>
      <c r="N116" s="10">
        <v>1</v>
      </c>
      <c r="O116" s="10">
        <v>2</v>
      </c>
      <c r="P116" s="10" t="s">
        <v>39</v>
      </c>
      <c r="Q116" s="10">
        <v>1</v>
      </c>
      <c r="R116" s="10">
        <v>2</v>
      </c>
      <c r="S116" s="10" t="s">
        <v>11</v>
      </c>
      <c r="T116" s="10" t="s">
        <v>42</v>
      </c>
      <c r="U116" s="10" t="s">
        <v>43</v>
      </c>
      <c r="V116" s="10"/>
      <c r="W116" s="1" t="s">
        <v>14</v>
      </c>
      <c r="X116" s="5">
        <v>7.4618198820490482</v>
      </c>
      <c r="Y116" s="5">
        <v>0.76611749079610447</v>
      </c>
      <c r="Z116" s="5">
        <v>6.6957023912529436</v>
      </c>
      <c r="AA116" s="8">
        <v>0.76611749079610436</v>
      </c>
      <c r="AB116" s="8">
        <v>1.085294858938171</v>
      </c>
      <c r="AC116" s="7"/>
    </row>
    <row r="117" spans="1:29" x14ac:dyDescent="0.25">
      <c r="A117" s="7"/>
      <c r="C117" s="1" t="s">
        <v>15</v>
      </c>
      <c r="D117" s="5">
        <v>2.2398106763838066</v>
      </c>
      <c r="E117" s="5">
        <v>0.76611707048755717</v>
      </c>
      <c r="F117" s="5">
        <v>0.76611665017945352</v>
      </c>
      <c r="G117" s="5">
        <v>0.55501645287717083</v>
      </c>
      <c r="H117" s="5">
        <v>0.76611646802848477</v>
      </c>
      <c r="I117" s="5">
        <v>0.55501650612264264</v>
      </c>
      <c r="J117" s="5">
        <v>0.55501662898517001</v>
      </c>
      <c r="K117" s="5">
        <v>1.2586077489972434</v>
      </c>
      <c r="L117" s="13">
        <v>7.4618182020615285</v>
      </c>
      <c r="M117" s="10">
        <v>1</v>
      </c>
      <c r="N117" s="5">
        <v>24.439431768771872</v>
      </c>
      <c r="O117" s="5">
        <v>17.70524186766152</v>
      </c>
      <c r="P117" s="10">
        <v>1</v>
      </c>
      <c r="Q117">
        <v>8.5311799299454734</v>
      </c>
      <c r="R117">
        <v>13.212450192731035</v>
      </c>
      <c r="S117" s="12">
        <v>37.522059181529528</v>
      </c>
      <c r="T117">
        <v>0.99999999909615045</v>
      </c>
      <c r="U117">
        <v>9.038495507596167E-10</v>
      </c>
      <c r="W117" s="1" t="s">
        <v>15</v>
      </c>
      <c r="X117" s="5">
        <v>7.4618182020615285</v>
      </c>
      <c r="Y117" s="5">
        <v>0.76611665017945352</v>
      </c>
      <c r="Z117" s="5">
        <v>6.6957015518820748</v>
      </c>
      <c r="AA117" s="8">
        <v>0.76611665017945352</v>
      </c>
      <c r="AB117" s="8">
        <v>1.0852943191258011</v>
      </c>
      <c r="AC117" s="7"/>
    </row>
    <row r="118" spans="1:29" x14ac:dyDescent="0.25">
      <c r="A118" s="7"/>
      <c r="C118" s="1" t="s">
        <v>16</v>
      </c>
      <c r="D118" s="5">
        <v>0.76611707048755695</v>
      </c>
      <c r="E118" s="5">
        <v>0.55501633001510442</v>
      </c>
      <c r="F118" s="5">
        <v>0.55501645287717083</v>
      </c>
      <c r="G118" s="5">
        <v>1.2586065040894858</v>
      </c>
      <c r="H118" s="5">
        <v>0.55501650612264275</v>
      </c>
      <c r="I118" s="5">
        <v>1.2586068804821551</v>
      </c>
      <c r="J118" s="5">
        <v>1.2586077489972434</v>
      </c>
      <c r="K118" s="5">
        <v>4.0364369005933352</v>
      </c>
      <c r="L118" s="13">
        <v>10.243424393664693</v>
      </c>
      <c r="M118" s="10">
        <v>2</v>
      </c>
      <c r="N118" s="5">
        <v>17.70524186766152</v>
      </c>
      <c r="O118" s="5">
        <v>40.150087485355549</v>
      </c>
      <c r="P118" s="10">
        <v>2</v>
      </c>
      <c r="Q118">
        <v>13.212450192731035</v>
      </c>
      <c r="R118">
        <v>2.56597886612199</v>
      </c>
      <c r="W118" s="1" t="s">
        <v>16</v>
      </c>
      <c r="X118" s="5">
        <v>10.243424393664693</v>
      </c>
      <c r="Y118" s="5">
        <v>1.2586065040894858</v>
      </c>
      <c r="Z118" s="5">
        <v>8.9848178895752078</v>
      </c>
      <c r="AA118" s="8">
        <v>1.2586065040894858</v>
      </c>
      <c r="AB118" s="8">
        <v>2.7655996702014218</v>
      </c>
      <c r="AC118" s="7"/>
    </row>
    <row r="119" spans="1:29" x14ac:dyDescent="0.25">
      <c r="A119" s="7"/>
      <c r="C119" s="1" t="s">
        <v>17</v>
      </c>
      <c r="D119" s="5">
        <v>2.2398099586434461</v>
      </c>
      <c r="E119" s="5">
        <v>0.76611688833639602</v>
      </c>
      <c r="F119" s="5">
        <v>0.76611646802848477</v>
      </c>
      <c r="G119" s="5">
        <v>0.55501650612264275</v>
      </c>
      <c r="H119" s="5">
        <v>0.76611628587759939</v>
      </c>
      <c r="I119" s="5">
        <v>0.55501655936817507</v>
      </c>
      <c r="J119" s="5">
        <v>0.55501668223084166</v>
      </c>
      <c r="K119" s="5">
        <v>1.2586081253903658</v>
      </c>
      <c r="L119" s="13">
        <v>7.4618174739979519</v>
      </c>
      <c r="M119" s="10" t="s">
        <v>40</v>
      </c>
      <c r="N119" s="10">
        <v>1</v>
      </c>
      <c r="O119" s="10">
        <v>2</v>
      </c>
      <c r="P119" s="10" t="s">
        <v>40</v>
      </c>
      <c r="Q119" s="10">
        <v>1</v>
      </c>
      <c r="R119" s="10">
        <v>2</v>
      </c>
      <c r="S119" s="10" t="s">
        <v>11</v>
      </c>
      <c r="T119" s="10" t="s">
        <v>42</v>
      </c>
      <c r="U119" s="10" t="s">
        <v>43</v>
      </c>
      <c r="W119" s="1" t="s">
        <v>17</v>
      </c>
      <c r="X119" s="5">
        <v>7.4618174739979519</v>
      </c>
      <c r="Y119" s="5">
        <v>0.76611628587759939</v>
      </c>
      <c r="Z119" s="5">
        <v>6.6957011881203528</v>
      </c>
      <c r="AA119" s="8">
        <v>0.7661162858775995</v>
      </c>
      <c r="AB119" s="8">
        <v>1.0852940851850428</v>
      </c>
      <c r="AC119" s="7"/>
    </row>
    <row r="120" spans="1:29" x14ac:dyDescent="0.25">
      <c r="A120" s="7"/>
      <c r="C120" s="1" t="s">
        <v>18</v>
      </c>
      <c r="D120" s="5">
        <v>0.76611688833639602</v>
      </c>
      <c r="E120" s="5">
        <v>0.55501638326043701</v>
      </c>
      <c r="F120" s="5">
        <v>0.55501650612264275</v>
      </c>
      <c r="G120" s="5">
        <v>1.2586068804821553</v>
      </c>
      <c r="H120" s="5">
        <v>0.55501655936817507</v>
      </c>
      <c r="I120" s="5">
        <v>1.2586072568749618</v>
      </c>
      <c r="J120" s="5">
        <v>1.2586081253903658</v>
      </c>
      <c r="K120" s="5">
        <v>4.0364382204454623</v>
      </c>
      <c r="L120" s="13">
        <v>10.243426820280597</v>
      </c>
      <c r="M120" s="10">
        <v>1</v>
      </c>
      <c r="N120" s="5">
        <v>24.439430312642799</v>
      </c>
      <c r="O120" s="5">
        <v>17.705245022342908</v>
      </c>
      <c r="P120" s="10">
        <v>1</v>
      </c>
      <c r="Q120">
        <v>8.5311787176074123</v>
      </c>
      <c r="R120">
        <v>13.212442388194122</v>
      </c>
      <c r="S120" s="12">
        <v>37.522040216456432</v>
      </c>
      <c r="T120">
        <v>0.99999999909614168</v>
      </c>
      <c r="U120">
        <v>9.0385832152151124E-10</v>
      </c>
      <c r="W120" s="1" t="s">
        <v>18</v>
      </c>
      <c r="X120" s="5">
        <v>10.243426820280597</v>
      </c>
      <c r="Y120" s="5">
        <v>1.2586072568749618</v>
      </c>
      <c r="Z120" s="5">
        <v>8.9848195634056349</v>
      </c>
      <c r="AA120" s="8">
        <v>1.2586072568749618</v>
      </c>
      <c r="AB120" s="8">
        <v>2.76560101228042</v>
      </c>
      <c r="AC120" s="7"/>
    </row>
    <row r="121" spans="1:29" x14ac:dyDescent="0.25">
      <c r="A121" s="7"/>
      <c r="C121" s="1" t="s">
        <v>19</v>
      </c>
      <c r="D121" s="5">
        <v>0.76611646802848488</v>
      </c>
      <c r="E121" s="5">
        <v>0.55501650612264275</v>
      </c>
      <c r="F121" s="5">
        <v>0.55501662898517012</v>
      </c>
      <c r="G121" s="5">
        <v>1.2586077489972436</v>
      </c>
      <c r="H121" s="5">
        <v>0.55501668223084166</v>
      </c>
      <c r="I121" s="5">
        <v>1.2586081253903658</v>
      </c>
      <c r="J121" s="5">
        <v>1.2586089939064991</v>
      </c>
      <c r="K121" s="5">
        <v>4.0364412659655295</v>
      </c>
      <c r="L121" s="13">
        <v>10.243432419626778</v>
      </c>
      <c r="M121" s="10">
        <v>2</v>
      </c>
      <c r="N121" s="5">
        <v>17.705245022342908</v>
      </c>
      <c r="O121" s="5">
        <v>40.150082632121837</v>
      </c>
      <c r="P121" s="10">
        <v>2</v>
      </c>
      <c r="Q121">
        <v>13.212442388194122</v>
      </c>
      <c r="R121">
        <v>2.565976722460777</v>
      </c>
      <c r="W121" s="1" t="s">
        <v>19</v>
      </c>
      <c r="X121" s="5">
        <v>10.243432419626778</v>
      </c>
      <c r="Y121" s="5">
        <v>1.2586089939064991</v>
      </c>
      <c r="Z121" s="5">
        <v>8.984823425720279</v>
      </c>
      <c r="AA121" s="8">
        <v>1.2586089939064991</v>
      </c>
      <c r="AB121" s="8">
        <v>2.7656041090888386</v>
      </c>
      <c r="AC121" s="7"/>
    </row>
    <row r="122" spans="1:29" x14ac:dyDescent="0.25">
      <c r="A122" s="7"/>
      <c r="C122" s="1" t="s">
        <v>20</v>
      </c>
      <c r="D122" s="5">
        <v>0.55501650612264275</v>
      </c>
      <c r="E122" s="5">
        <v>1.2586068804821551</v>
      </c>
      <c r="F122" s="5">
        <v>1.2586077489972434</v>
      </c>
      <c r="G122" s="5">
        <v>4.0364369005933352</v>
      </c>
      <c r="H122" s="5">
        <v>1.2586081253903656</v>
      </c>
      <c r="I122" s="5">
        <v>4.0364382204454614</v>
      </c>
      <c r="J122" s="5">
        <v>4.0364412659655287</v>
      </c>
      <c r="K122" s="5">
        <v>13.466496991115012</v>
      </c>
      <c r="L122" s="13">
        <v>29.906652639111744</v>
      </c>
      <c r="M122" s="10" t="s">
        <v>41</v>
      </c>
      <c r="N122" s="10">
        <v>1</v>
      </c>
      <c r="O122" s="10">
        <v>2</v>
      </c>
      <c r="P122" s="10" t="s">
        <v>41</v>
      </c>
      <c r="Q122" s="10">
        <v>1</v>
      </c>
      <c r="R122" s="10">
        <v>2</v>
      </c>
      <c r="S122" s="10" t="s">
        <v>11</v>
      </c>
      <c r="T122" s="10" t="s">
        <v>42</v>
      </c>
      <c r="U122" s="10" t="s">
        <v>43</v>
      </c>
      <c r="W122" s="1" t="s">
        <v>20</v>
      </c>
      <c r="X122" s="5">
        <v>29.906652639111744</v>
      </c>
      <c r="Y122" s="5">
        <v>13.466496991115012</v>
      </c>
      <c r="Z122" s="5">
        <v>16.440155647996733</v>
      </c>
      <c r="AA122" s="8">
        <v>4.1397980005573523</v>
      </c>
      <c r="AB122" s="8">
        <v>39.738409859777697</v>
      </c>
      <c r="AC122" s="7"/>
    </row>
    <row r="123" spans="1:29" x14ac:dyDescent="0.25">
      <c r="A123" s="7"/>
      <c r="D123" s="13">
        <v>16.977611158658121</v>
      </c>
      <c r="E123" s="13">
        <v>7.4618198820490473</v>
      </c>
      <c r="F123" s="13">
        <v>7.4618182020615285</v>
      </c>
      <c r="G123" s="13">
        <v>10.243424393664695</v>
      </c>
      <c r="H123" s="13">
        <v>7.4618174739979501</v>
      </c>
      <c r="I123" s="13">
        <v>10.243426820280595</v>
      </c>
      <c r="J123" s="13">
        <v>10.243432419626776</v>
      </c>
      <c r="K123" s="13">
        <v>29.906652639111744</v>
      </c>
      <c r="L123" s="1">
        <v>100.00000298945046</v>
      </c>
      <c r="M123" s="10">
        <v>1</v>
      </c>
      <c r="N123" s="5">
        <v>24.439426952671162</v>
      </c>
      <c r="O123" s="5">
        <v>17.705252301673223</v>
      </c>
      <c r="P123" s="10">
        <v>1</v>
      </c>
      <c r="Q123">
        <v>8.5311759201759134</v>
      </c>
      <c r="R123">
        <v>13.212424379480032</v>
      </c>
      <c r="S123" s="12">
        <v>37.521996455166303</v>
      </c>
      <c r="T123">
        <v>0.99999999909612136</v>
      </c>
      <c r="U123">
        <v>9.0387863860286188E-10</v>
      </c>
      <c r="W123" s="1" t="s">
        <v>59</v>
      </c>
      <c r="X123" s="7">
        <v>100.00000298945046</v>
      </c>
      <c r="Y123" s="7">
        <v>26.945481430946252</v>
      </c>
      <c r="Z123" s="7">
        <v>73.054521558504206</v>
      </c>
      <c r="AA123" s="7">
        <v>11.779539742944069</v>
      </c>
      <c r="AB123" s="7">
        <v>73.034381475508496</v>
      </c>
      <c r="AC123" s="11">
        <v>84.813921218452563</v>
      </c>
    </row>
    <row r="124" spans="1:29" x14ac:dyDescent="0.25">
      <c r="A124" s="7"/>
      <c r="M124" s="10">
        <v>2</v>
      </c>
      <c r="N124" s="5">
        <v>17.70525230167322</v>
      </c>
      <c r="O124" s="5">
        <v>40.150071433432856</v>
      </c>
      <c r="P124" s="10">
        <v>2</v>
      </c>
      <c r="Q124">
        <v>13.212424379480041</v>
      </c>
      <c r="R124">
        <v>2.5659717760303149</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-2.4633423913430255</v>
      </c>
      <c r="E127" s="8">
        <v>-0.80639208224498937</v>
      </c>
      <c r="F127" s="8">
        <v>-0.80639134282346159</v>
      </c>
      <c r="G127" s="8">
        <v>0.26642028738473073</v>
      </c>
      <c r="H127" s="8">
        <v>-0.80639102237652249</v>
      </c>
      <c r="I127" s="8">
        <v>0.26642052514367104</v>
      </c>
      <c r="J127" s="8">
        <v>0.26642107376494906</v>
      </c>
      <c r="K127" s="8">
        <v>62.624325290626736</v>
      </c>
      <c r="L127" s="14">
        <v>58.541070338132087</v>
      </c>
      <c r="AC127" s="7"/>
    </row>
    <row r="128" spans="1:29" x14ac:dyDescent="0.25">
      <c r="A128" s="7"/>
      <c r="C128" s="1" t="s">
        <v>14</v>
      </c>
      <c r="D128" s="8">
        <v>-0.80639208224498971</v>
      </c>
      <c r="E128" s="8">
        <v>0</v>
      </c>
      <c r="F128" s="8">
        <v>0</v>
      </c>
      <c r="G128" s="8">
        <v>0</v>
      </c>
      <c r="H128" s="8">
        <v>0</v>
      </c>
      <c r="I128" s="8">
        <v>0</v>
      </c>
      <c r="J128" s="8">
        <v>0</v>
      </c>
      <c r="K128" s="8">
        <v>4.6251556089992807</v>
      </c>
      <c r="L128" s="14">
        <v>3.818763526754291</v>
      </c>
      <c r="AC128" s="7"/>
    </row>
    <row r="129" spans="1:29" x14ac:dyDescent="0.25">
      <c r="A129" s="7"/>
      <c r="C129" s="1" t="s">
        <v>15</v>
      </c>
      <c r="D129" s="8">
        <v>-0.8063913428234617</v>
      </c>
      <c r="E129" s="8">
        <v>0</v>
      </c>
      <c r="F129" s="8">
        <v>0</v>
      </c>
      <c r="G129" s="8">
        <v>0</v>
      </c>
      <c r="H129" s="8">
        <v>0</v>
      </c>
      <c r="I129" s="8">
        <v>0</v>
      </c>
      <c r="J129" s="8">
        <v>0</v>
      </c>
      <c r="K129" s="8">
        <v>4.6251528487576143</v>
      </c>
      <c r="L129" s="14">
        <v>3.8187615059341526</v>
      </c>
      <c r="AC129" s="7"/>
    </row>
    <row r="130" spans="1:29" x14ac:dyDescent="0.25">
      <c r="A130" s="7"/>
      <c r="C130" s="1" t="s">
        <v>16</v>
      </c>
      <c r="D130" s="8">
        <v>0.26642028738473089</v>
      </c>
      <c r="E130" s="8">
        <v>0</v>
      </c>
      <c r="F130" s="8">
        <v>0</v>
      </c>
      <c r="G130" s="8">
        <v>0</v>
      </c>
      <c r="H130" s="8">
        <v>0</v>
      </c>
      <c r="I130" s="8">
        <v>0</v>
      </c>
      <c r="J130" s="8">
        <v>0</v>
      </c>
      <c r="K130" s="8">
        <v>-3.6271945612351975E-2</v>
      </c>
      <c r="L130" s="14">
        <v>0.23014834177237892</v>
      </c>
      <c r="AC130" s="7"/>
    </row>
    <row r="131" spans="1:29" x14ac:dyDescent="0.25">
      <c r="A131" s="7"/>
      <c r="C131" s="1" t="s">
        <v>17</v>
      </c>
      <c r="D131" s="8">
        <v>-0.8063910223765226</v>
      </c>
      <c r="E131" s="8">
        <v>0</v>
      </c>
      <c r="F131" s="8">
        <v>0</v>
      </c>
      <c r="G131" s="8">
        <v>0</v>
      </c>
      <c r="H131" s="8">
        <v>0</v>
      </c>
      <c r="I131" s="8">
        <v>0</v>
      </c>
      <c r="J131" s="8">
        <v>0</v>
      </c>
      <c r="K131" s="8">
        <v>4.6251516525372143</v>
      </c>
      <c r="L131" s="14">
        <v>3.8187606301606918</v>
      </c>
      <c r="AC131" s="7"/>
    </row>
    <row r="132" spans="1:29" x14ac:dyDescent="0.25">
      <c r="A132" s="7"/>
      <c r="C132" s="1" t="s">
        <v>18</v>
      </c>
      <c r="D132" s="8">
        <v>0.26642052514367087</v>
      </c>
      <c r="E132" s="8">
        <v>0</v>
      </c>
      <c r="F132" s="8">
        <v>0</v>
      </c>
      <c r="G132" s="8">
        <v>0</v>
      </c>
      <c r="H132" s="8">
        <v>0</v>
      </c>
      <c r="I132" s="8">
        <v>0</v>
      </c>
      <c r="J132" s="8">
        <v>0</v>
      </c>
      <c r="K132" s="8">
        <v>-3.6273253549965224E-2</v>
      </c>
      <c r="L132" s="14">
        <v>0.23014727159370565</v>
      </c>
      <c r="AC132" s="7"/>
    </row>
    <row r="133" spans="1:29" x14ac:dyDescent="0.25">
      <c r="A133" s="7"/>
      <c r="C133" s="1" t="s">
        <v>19</v>
      </c>
      <c r="D133" s="8">
        <v>0.26642107376494906</v>
      </c>
      <c r="E133" s="8">
        <v>0</v>
      </c>
      <c r="F133" s="8">
        <v>0</v>
      </c>
      <c r="G133" s="8">
        <v>0</v>
      </c>
      <c r="H133" s="8">
        <v>0</v>
      </c>
      <c r="I133" s="8">
        <v>0</v>
      </c>
      <c r="J133" s="8">
        <v>0</v>
      </c>
      <c r="K133" s="8">
        <v>-3.6276271576009017E-2</v>
      </c>
      <c r="L133" s="14">
        <v>0.23014480218894004</v>
      </c>
      <c r="AC133" s="7"/>
    </row>
    <row r="134" spans="1:29" x14ac:dyDescent="0.25">
      <c r="A134" s="7"/>
      <c r="C134" s="1" t="s">
        <v>20</v>
      </c>
      <c r="D134" s="8">
        <v>62.624325290626736</v>
      </c>
      <c r="E134" s="8">
        <v>4.6251556089992816</v>
      </c>
      <c r="F134" s="8">
        <v>4.6251528487576143</v>
      </c>
      <c r="G134" s="8">
        <v>-3.6271945612351975E-2</v>
      </c>
      <c r="H134" s="8">
        <v>4.6251516525372152</v>
      </c>
      <c r="I134" s="8">
        <v>-3.6273253549964329E-2</v>
      </c>
      <c r="J134" s="8">
        <v>-3.6276271576008122E-2</v>
      </c>
      <c r="K134" s="8">
        <v>-4.8506725639313153</v>
      </c>
      <c r="L134" s="14">
        <v>71.540291366251196</v>
      </c>
      <c r="AC134" s="7"/>
    </row>
    <row r="135" spans="1:29" x14ac:dyDescent="0.25">
      <c r="A135" s="7"/>
      <c r="D135" s="14">
        <v>58.541070338132087</v>
      </c>
      <c r="E135" s="14">
        <v>3.8187635267542923</v>
      </c>
      <c r="F135" s="14">
        <v>3.8187615059341526</v>
      </c>
      <c r="G135" s="14">
        <v>0.23014834177237875</v>
      </c>
      <c r="H135" s="14">
        <v>3.8187606301606927</v>
      </c>
      <c r="I135" s="14">
        <v>0.23014727159370671</v>
      </c>
      <c r="J135" s="14">
        <v>0.23014480218894093</v>
      </c>
      <c r="K135" s="14">
        <v>71.540291366251196</v>
      </c>
      <c r="L135" s="2">
        <v>284.45617556557488</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1.5655685606626129</v>
      </c>
      <c r="E140" s="8">
        <v>0.68627830894682273</v>
      </c>
      <c r="F140" s="8">
        <v>0.68627698290865435</v>
      </c>
      <c r="G140" s="8">
        <v>7.1400608111382352E-2</v>
      </c>
      <c r="H140" s="8">
        <v>0.68627640823707814</v>
      </c>
      <c r="I140" s="8">
        <v>7.1400736303088755E-2</v>
      </c>
      <c r="J140" s="8">
        <v>7.1401032101866976E-2</v>
      </c>
      <c r="K140" s="8">
        <v>548.32143863196336</v>
      </c>
      <c r="L140" s="15">
        <v>552.16004126923485</v>
      </c>
      <c r="AC140" s="7"/>
    </row>
    <row r="141" spans="1:29" x14ac:dyDescent="0.25">
      <c r="A141" s="7"/>
      <c r="C141" s="1" t="s">
        <v>14</v>
      </c>
      <c r="D141" s="8">
        <v>0.68627830894682307</v>
      </c>
      <c r="E141" s="8">
        <v>0.76611749079610436</v>
      </c>
      <c r="F141" s="8">
        <v>0.76611707048755695</v>
      </c>
      <c r="G141" s="8">
        <v>0.55501633001510453</v>
      </c>
      <c r="H141" s="8">
        <v>0.76611688833639602</v>
      </c>
      <c r="I141" s="8">
        <v>0.5550163832604369</v>
      </c>
      <c r="J141" s="8">
        <v>0.55501650612264275</v>
      </c>
      <c r="K141" s="8">
        <v>5.9710751246336713</v>
      </c>
      <c r="L141" s="15">
        <v>10.620754102598735</v>
      </c>
      <c r="AC141" s="7"/>
    </row>
    <row r="142" spans="1:29" x14ac:dyDescent="0.25">
      <c r="A142" s="7"/>
      <c r="C142" s="1" t="s">
        <v>15</v>
      </c>
      <c r="D142" s="8">
        <v>0.68627698290865469</v>
      </c>
      <c r="E142" s="8">
        <v>0.76611707048755717</v>
      </c>
      <c r="F142" s="8">
        <v>0.76611665017945352</v>
      </c>
      <c r="G142" s="8">
        <v>0.55501645287717083</v>
      </c>
      <c r="H142" s="8">
        <v>0.76611646802848465</v>
      </c>
      <c r="I142" s="8">
        <v>0.55501650612264264</v>
      </c>
      <c r="J142" s="8">
        <v>0.55501662898517001</v>
      </c>
      <c r="K142" s="8">
        <v>5.9710672207806503</v>
      </c>
      <c r="L142" s="15">
        <v>10.620743980369785</v>
      </c>
      <c r="AC142" s="7"/>
    </row>
    <row r="143" spans="1:29" x14ac:dyDescent="0.25">
      <c r="A143" s="7"/>
      <c r="C143" s="1" t="s">
        <v>16</v>
      </c>
      <c r="D143" s="8">
        <v>7.1400608111382435E-2</v>
      </c>
      <c r="E143" s="8">
        <v>0.55501633001510442</v>
      </c>
      <c r="F143" s="8">
        <v>0.55501645287717083</v>
      </c>
      <c r="G143" s="8">
        <v>1.2586065040894858</v>
      </c>
      <c r="H143" s="8">
        <v>0.55501650612264275</v>
      </c>
      <c r="I143" s="8">
        <v>1.2586068804821551</v>
      </c>
      <c r="J143" s="8">
        <v>1.2586077489972434</v>
      </c>
      <c r="K143" s="8">
        <v>3.2891576346788184E-4</v>
      </c>
      <c r="L143" s="15">
        <v>5.5125999464586526</v>
      </c>
      <c r="AC143" s="7"/>
    </row>
    <row r="144" spans="1:29" x14ac:dyDescent="0.25">
      <c r="A144" s="7"/>
      <c r="C144" s="1" t="s">
        <v>17</v>
      </c>
      <c r="D144" s="8">
        <v>0.68627640823707858</v>
      </c>
      <c r="E144" s="8">
        <v>0.76611688833639602</v>
      </c>
      <c r="F144" s="8">
        <v>0.76611646802848465</v>
      </c>
      <c r="G144" s="8">
        <v>0.55501650612264275</v>
      </c>
      <c r="H144" s="8">
        <v>0.7661162858775995</v>
      </c>
      <c r="I144" s="8">
        <v>0.55501655936817507</v>
      </c>
      <c r="J144" s="8">
        <v>0.55501668223084166</v>
      </c>
      <c r="K144" s="8">
        <v>5.9710637954485035</v>
      </c>
      <c r="L144" s="15">
        <v>10.620739593649722</v>
      </c>
      <c r="AC144" s="7"/>
    </row>
    <row r="145" spans="1:29" x14ac:dyDescent="0.25">
      <c r="A145" s="7"/>
      <c r="C145" s="1" t="s">
        <v>18</v>
      </c>
      <c r="D145" s="8">
        <v>7.1400736303088685E-2</v>
      </c>
      <c r="E145" s="8">
        <v>0.55501638326043701</v>
      </c>
      <c r="F145" s="8">
        <v>0.55501650612264275</v>
      </c>
      <c r="G145" s="8">
        <v>1.2586068804821553</v>
      </c>
      <c r="H145" s="8">
        <v>0.55501655936817507</v>
      </c>
      <c r="I145" s="8">
        <v>1.2586072568749618</v>
      </c>
      <c r="J145" s="8">
        <v>1.2586081253903658</v>
      </c>
      <c r="K145" s="8">
        <v>3.2893948494164651E-4</v>
      </c>
      <c r="L145" s="15">
        <v>5.512601387286769</v>
      </c>
      <c r="AC145" s="7"/>
    </row>
    <row r="146" spans="1:29" x14ac:dyDescent="0.25">
      <c r="A146" s="7"/>
      <c r="C146" s="1" t="s">
        <v>19</v>
      </c>
      <c r="D146" s="8">
        <v>7.1401032101866907E-2</v>
      </c>
      <c r="E146" s="8">
        <v>0.55501650612264275</v>
      </c>
      <c r="F146" s="8">
        <v>0.55501662898517012</v>
      </c>
      <c r="G146" s="8">
        <v>1.2586077489972436</v>
      </c>
      <c r="H146" s="8">
        <v>0.55501668223084166</v>
      </c>
      <c r="I146" s="8">
        <v>1.2586081253903658</v>
      </c>
      <c r="J146" s="8">
        <v>1.2586089939064991</v>
      </c>
      <c r="K146" s="8">
        <v>3.2899422478102337E-4</v>
      </c>
      <c r="L146" s="15">
        <v>5.512604711959411</v>
      </c>
      <c r="AC146" s="7"/>
    </row>
    <row r="147" spans="1:29" x14ac:dyDescent="0.25">
      <c r="A147" s="7"/>
      <c r="C147" s="1" t="s">
        <v>20</v>
      </c>
      <c r="D147" s="8">
        <v>548.32143863196336</v>
      </c>
      <c r="E147" s="8">
        <v>5.9710751246336722</v>
      </c>
      <c r="F147" s="8">
        <v>5.9710672207806503</v>
      </c>
      <c r="G147" s="8">
        <v>3.2891576346788184E-4</v>
      </c>
      <c r="H147" s="8">
        <v>5.9710637954485071</v>
      </c>
      <c r="I147" s="8">
        <v>3.2893948494163057E-4</v>
      </c>
      <c r="J147" s="8">
        <v>3.2899422478100743E-4</v>
      </c>
      <c r="K147" s="8">
        <v>4.1397980005573523</v>
      </c>
      <c r="L147" s="15">
        <v>570.3754296228567</v>
      </c>
      <c r="N147">
        <v>1</v>
      </c>
      <c r="AC147" s="7"/>
    </row>
    <row r="148" spans="1:29" x14ac:dyDescent="0.25">
      <c r="A148" s="7"/>
      <c r="B148" s="7"/>
      <c r="C148" s="7"/>
      <c r="D148" s="15">
        <v>552.16004126923485</v>
      </c>
      <c r="E148" s="15">
        <v>10.620754102598736</v>
      </c>
      <c r="F148" s="15">
        <v>10.620743980369785</v>
      </c>
      <c r="G148" s="15">
        <v>5.5125999464586526</v>
      </c>
      <c r="H148" s="15">
        <v>10.620739593649725</v>
      </c>
      <c r="I148" s="15">
        <v>5.5126013872867672</v>
      </c>
      <c r="J148" s="15">
        <v>5.512604711959411</v>
      </c>
      <c r="K148" s="15">
        <v>570.3754296228567</v>
      </c>
      <c r="L148" s="16">
        <v>1170.9355146144146</v>
      </c>
      <c r="M148" t="s">
        <v>11</v>
      </c>
      <c r="N148" s="7">
        <v>0</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topLeftCell="A120" workbookViewId="0">
      <selection activeCell="M19" sqref="M19"/>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0.20222946607906025</v>
      </c>
      <c r="B2" s="19">
        <v>0.25522283084087782</v>
      </c>
      <c r="C2" s="19">
        <v>0.30302987805140269</v>
      </c>
      <c r="D2" s="19">
        <v>0</v>
      </c>
      <c r="E2" s="19">
        <v>0</v>
      </c>
      <c r="F2" s="19">
        <v>0</v>
      </c>
      <c r="G2" s="19">
        <v>0.50851920200165723</v>
      </c>
      <c r="H2" s="19">
        <v>0.18550193253321576</v>
      </c>
      <c r="I2" s="19">
        <v>0.15150455814218461</v>
      </c>
      <c r="J2" s="19">
        <v>0.1544743063423237</v>
      </c>
      <c r="K2" s="19">
        <v>0</v>
      </c>
      <c r="L2" s="1">
        <v>0.9999999990193813</v>
      </c>
      <c r="N2" t="s">
        <v>36</v>
      </c>
      <c r="O2" s="4">
        <v>0.6</v>
      </c>
      <c r="P2" s="4">
        <v>0.6</v>
      </c>
      <c r="AC2" s="7"/>
    </row>
    <row r="3" spans="1:29" x14ac:dyDescent="0.25">
      <c r="A3" t="s">
        <v>79</v>
      </c>
      <c r="B3" s="21">
        <v>69.836952578265581</v>
      </c>
      <c r="C3" s="18" t="s">
        <v>12</v>
      </c>
      <c r="D3" s="1" t="s">
        <v>13</v>
      </c>
      <c r="E3" s="1" t="s">
        <v>14</v>
      </c>
      <c r="F3" s="1" t="s">
        <v>15</v>
      </c>
      <c r="G3" s="1" t="s">
        <v>16</v>
      </c>
      <c r="H3" s="1" t="s">
        <v>17</v>
      </c>
      <c r="I3" s="1" t="s">
        <v>18</v>
      </c>
      <c r="J3" s="1" t="s">
        <v>19</v>
      </c>
      <c r="K3" s="1" t="s">
        <v>20</v>
      </c>
      <c r="L3" s="1"/>
      <c r="N3" t="s">
        <v>37</v>
      </c>
      <c r="O3" s="4">
        <v>0.6</v>
      </c>
      <c r="P3" s="4">
        <v>0.6</v>
      </c>
      <c r="Q3" t="s">
        <v>55</v>
      </c>
      <c r="Y3" s="1" t="s">
        <v>12</v>
      </c>
      <c r="Z3" t="s">
        <v>47</v>
      </c>
      <c r="AA3" t="s">
        <v>48</v>
      </c>
      <c r="AB3" t="s">
        <v>49</v>
      </c>
      <c r="AC3" s="7"/>
    </row>
    <row r="4" spans="1:29" x14ac:dyDescent="0.25">
      <c r="A4" t="s">
        <v>21</v>
      </c>
      <c r="B4">
        <v>1.6931782714185127E-2</v>
      </c>
      <c r="C4" s="1" t="s">
        <v>13</v>
      </c>
      <c r="D4">
        <v>0</v>
      </c>
      <c r="E4">
        <v>0</v>
      </c>
      <c r="F4">
        <v>0</v>
      </c>
      <c r="G4">
        <v>0</v>
      </c>
      <c r="H4">
        <v>0</v>
      </c>
      <c r="I4">
        <v>0</v>
      </c>
      <c r="J4">
        <v>0</v>
      </c>
      <c r="K4">
        <v>1</v>
      </c>
      <c r="L4" s="1">
        <v>1</v>
      </c>
      <c r="N4" t="s">
        <v>38</v>
      </c>
      <c r="O4" s="4">
        <v>0.6</v>
      </c>
      <c r="P4" s="4">
        <v>0.6</v>
      </c>
      <c r="Q4" t="s">
        <v>56</v>
      </c>
      <c r="T4" t="s">
        <v>44</v>
      </c>
      <c r="V4" t="s">
        <v>57</v>
      </c>
      <c r="Y4" s="1" t="s">
        <v>13</v>
      </c>
      <c r="Z4">
        <v>1</v>
      </c>
      <c r="AA4">
        <v>0</v>
      </c>
      <c r="AB4">
        <v>1</v>
      </c>
      <c r="AC4" s="7"/>
    </row>
    <row r="5" spans="1:29" x14ac:dyDescent="0.25">
      <c r="C5" s="1" t="s">
        <v>14</v>
      </c>
      <c r="D5">
        <v>0</v>
      </c>
      <c r="E5">
        <v>0</v>
      </c>
      <c r="F5">
        <v>0</v>
      </c>
      <c r="G5">
        <v>0</v>
      </c>
      <c r="J5">
        <v>0</v>
      </c>
      <c r="K5">
        <v>1</v>
      </c>
      <c r="L5" s="1">
        <v>1</v>
      </c>
      <c r="M5" s="10" t="s">
        <v>39</v>
      </c>
      <c r="N5" s="10">
        <v>1</v>
      </c>
      <c r="O5" s="10">
        <v>2</v>
      </c>
      <c r="P5" s="10" t="s">
        <v>39</v>
      </c>
      <c r="Q5" s="10">
        <v>1</v>
      </c>
      <c r="R5" s="10">
        <v>2</v>
      </c>
      <c r="S5" s="10" t="s">
        <v>39</v>
      </c>
      <c r="T5" s="10">
        <v>1</v>
      </c>
      <c r="U5" s="10">
        <v>2</v>
      </c>
      <c r="V5" s="10" t="s">
        <v>11</v>
      </c>
      <c r="W5" t="s">
        <v>42</v>
      </c>
      <c r="X5" t="s">
        <v>43</v>
      </c>
      <c r="Y5" s="1" t="s">
        <v>14</v>
      </c>
      <c r="Z5">
        <v>1</v>
      </c>
      <c r="AA5">
        <v>0</v>
      </c>
      <c r="AB5">
        <v>1</v>
      </c>
      <c r="AC5" s="7"/>
    </row>
    <row r="6" spans="1:29" x14ac:dyDescent="0.25">
      <c r="A6" t="s">
        <v>22</v>
      </c>
      <c r="B6" s="20">
        <v>0.20222946607906025</v>
      </c>
      <c r="C6" s="1" t="s">
        <v>15</v>
      </c>
      <c r="D6">
        <v>0</v>
      </c>
      <c r="E6">
        <v>0</v>
      </c>
      <c r="F6">
        <v>1</v>
      </c>
      <c r="G6">
        <v>0</v>
      </c>
      <c r="J6">
        <v>0</v>
      </c>
      <c r="K6">
        <v>0</v>
      </c>
      <c r="L6" s="1">
        <v>1</v>
      </c>
      <c r="M6" s="10">
        <v>1</v>
      </c>
      <c r="N6">
        <v>5</v>
      </c>
      <c r="O6">
        <v>35</v>
      </c>
      <c r="P6" s="10">
        <v>1</v>
      </c>
      <c r="Q6">
        <v>16</v>
      </c>
      <c r="R6">
        <v>24</v>
      </c>
      <c r="S6" s="10">
        <v>1</v>
      </c>
      <c r="T6">
        <v>7.5625</v>
      </c>
      <c r="U6">
        <v>5.041666666666667</v>
      </c>
      <c r="V6" s="12">
        <v>21.006944444444446</v>
      </c>
      <c r="W6">
        <v>0.9999954237834261</v>
      </c>
      <c r="X6" s="12">
        <v>4.5762165739038352E-6</v>
      </c>
      <c r="Y6" s="1" t="s">
        <v>15</v>
      </c>
      <c r="Z6">
        <v>1</v>
      </c>
      <c r="AA6">
        <v>1</v>
      </c>
      <c r="AB6">
        <v>0</v>
      </c>
      <c r="AC6" s="7"/>
    </row>
    <row r="7" spans="1:29" x14ac:dyDescent="0.25">
      <c r="A7" t="s">
        <v>23</v>
      </c>
      <c r="B7" s="20">
        <v>0.25522283084087782</v>
      </c>
      <c r="C7" s="1" t="s">
        <v>16</v>
      </c>
      <c r="D7">
        <v>0</v>
      </c>
      <c r="E7">
        <v>0</v>
      </c>
      <c r="F7">
        <v>0</v>
      </c>
      <c r="G7">
        <v>4</v>
      </c>
      <c r="H7">
        <v>11</v>
      </c>
      <c r="I7">
        <v>11</v>
      </c>
      <c r="J7">
        <v>11</v>
      </c>
      <c r="K7">
        <v>0</v>
      </c>
      <c r="L7" s="1">
        <v>37</v>
      </c>
      <c r="M7" s="10">
        <v>2</v>
      </c>
      <c r="N7">
        <v>35</v>
      </c>
      <c r="O7">
        <v>25</v>
      </c>
      <c r="P7" s="10">
        <v>2</v>
      </c>
      <c r="Q7">
        <v>24</v>
      </c>
      <c r="R7">
        <v>36</v>
      </c>
      <c r="S7" s="10">
        <v>2</v>
      </c>
      <c r="T7">
        <v>5.041666666666667</v>
      </c>
      <c r="U7">
        <v>3.3611111111111112</v>
      </c>
      <c r="Y7" s="1" t="s">
        <v>16</v>
      </c>
      <c r="Z7">
        <v>37</v>
      </c>
      <c r="AA7">
        <v>4</v>
      </c>
      <c r="AB7">
        <v>33</v>
      </c>
      <c r="AC7" s="7"/>
    </row>
    <row r="8" spans="1:29" x14ac:dyDescent="0.25">
      <c r="A8" t="s">
        <v>24</v>
      </c>
      <c r="B8" s="20">
        <v>0.30302987805140269</v>
      </c>
      <c r="C8" s="1" t="s">
        <v>17</v>
      </c>
      <c r="D8">
        <v>0</v>
      </c>
      <c r="G8">
        <v>11</v>
      </c>
      <c r="H8">
        <v>4</v>
      </c>
      <c r="I8">
        <v>2</v>
      </c>
      <c r="J8">
        <v>2</v>
      </c>
      <c r="K8">
        <v>0</v>
      </c>
      <c r="L8" s="1">
        <v>19</v>
      </c>
      <c r="M8" s="10" t="s">
        <v>40</v>
      </c>
      <c r="N8">
        <v>1</v>
      </c>
      <c r="O8">
        <v>2</v>
      </c>
      <c r="P8" s="10" t="s">
        <v>40</v>
      </c>
      <c r="S8" s="10" t="s">
        <v>40</v>
      </c>
      <c r="Y8" s="1" t="s">
        <v>17</v>
      </c>
      <c r="Z8">
        <v>19</v>
      </c>
      <c r="AA8">
        <v>4</v>
      </c>
      <c r="AB8">
        <v>15</v>
      </c>
      <c r="AC8" s="7"/>
    </row>
    <row r="9" spans="1:29" x14ac:dyDescent="0.25">
      <c r="C9" s="1" t="s">
        <v>18</v>
      </c>
      <c r="D9">
        <v>0</v>
      </c>
      <c r="G9">
        <v>11</v>
      </c>
      <c r="H9">
        <v>2</v>
      </c>
      <c r="I9">
        <v>4</v>
      </c>
      <c r="J9">
        <v>2</v>
      </c>
      <c r="K9">
        <v>0</v>
      </c>
      <c r="L9" s="1">
        <v>19</v>
      </c>
      <c r="M9" s="10">
        <v>1</v>
      </c>
      <c r="N9">
        <v>12</v>
      </c>
      <c r="O9">
        <v>28</v>
      </c>
      <c r="P9" s="10">
        <v>1</v>
      </c>
      <c r="Q9">
        <v>16</v>
      </c>
      <c r="R9">
        <v>24</v>
      </c>
      <c r="S9" s="10">
        <v>1</v>
      </c>
      <c r="T9">
        <v>1</v>
      </c>
      <c r="U9">
        <v>0.66666666666666663</v>
      </c>
      <c r="V9" s="12">
        <v>2.7777777777777777</v>
      </c>
      <c r="W9">
        <v>0.90441929545437061</v>
      </c>
      <c r="X9" s="12">
        <v>9.5580704545629391E-2</v>
      </c>
      <c r="Y9" s="1" t="s">
        <v>18</v>
      </c>
      <c r="Z9">
        <v>19</v>
      </c>
      <c r="AA9">
        <v>4</v>
      </c>
      <c r="AB9">
        <v>15</v>
      </c>
      <c r="AC9" s="7"/>
    </row>
    <row r="10" spans="1:29" x14ac:dyDescent="0.25">
      <c r="A10" s="7"/>
      <c r="C10" s="1" t="s">
        <v>19</v>
      </c>
      <c r="D10">
        <v>0</v>
      </c>
      <c r="E10">
        <v>0</v>
      </c>
      <c r="F10">
        <v>0</v>
      </c>
      <c r="G10">
        <v>11</v>
      </c>
      <c r="H10">
        <v>2</v>
      </c>
      <c r="I10">
        <v>2</v>
      </c>
      <c r="J10">
        <v>4</v>
      </c>
      <c r="K10">
        <v>0</v>
      </c>
      <c r="L10" s="1">
        <v>19</v>
      </c>
      <c r="M10" s="10">
        <v>2</v>
      </c>
      <c r="N10">
        <v>28</v>
      </c>
      <c r="O10">
        <v>32</v>
      </c>
      <c r="P10" s="10">
        <v>2</v>
      </c>
      <c r="Q10">
        <v>24</v>
      </c>
      <c r="R10">
        <v>36</v>
      </c>
      <c r="S10" s="10">
        <v>2</v>
      </c>
      <c r="T10">
        <v>0.66666666666666663</v>
      </c>
      <c r="U10">
        <v>0.44444444444444442</v>
      </c>
      <c r="Y10" s="1" t="s">
        <v>19</v>
      </c>
      <c r="Z10">
        <v>19</v>
      </c>
      <c r="AA10">
        <v>4</v>
      </c>
      <c r="AB10">
        <v>15</v>
      </c>
      <c r="AC10" s="7"/>
    </row>
    <row r="11" spans="1:29" x14ac:dyDescent="0.25">
      <c r="A11" s="7">
        <v>0</v>
      </c>
      <c r="B11" s="6">
        <v>0</v>
      </c>
      <c r="C11" s="1" t="s">
        <v>20</v>
      </c>
      <c r="D11">
        <v>1</v>
      </c>
      <c r="E11">
        <v>1</v>
      </c>
      <c r="F11">
        <v>0</v>
      </c>
      <c r="G11">
        <v>0</v>
      </c>
      <c r="H11">
        <v>0</v>
      </c>
      <c r="I11">
        <v>0</v>
      </c>
      <c r="J11">
        <v>0</v>
      </c>
      <c r="K11">
        <v>1</v>
      </c>
      <c r="L11" s="1">
        <v>3</v>
      </c>
      <c r="M11" s="10" t="s">
        <v>41</v>
      </c>
      <c r="N11">
        <v>1</v>
      </c>
      <c r="O11">
        <v>2</v>
      </c>
      <c r="P11" s="10" t="s">
        <v>41</v>
      </c>
      <c r="S11" s="10" t="s">
        <v>41</v>
      </c>
      <c r="Y11" s="1" t="s">
        <v>20</v>
      </c>
      <c r="Z11">
        <v>3</v>
      </c>
      <c r="AA11">
        <v>1</v>
      </c>
      <c r="AB11">
        <v>2</v>
      </c>
      <c r="AC11" s="7"/>
    </row>
    <row r="12" spans="1:29" x14ac:dyDescent="0.25">
      <c r="A12" s="7"/>
      <c r="B12" s="6"/>
      <c r="C12" s="1"/>
      <c r="D12" s="1">
        <v>1</v>
      </c>
      <c r="E12" s="1">
        <v>1</v>
      </c>
      <c r="F12" s="1">
        <v>1</v>
      </c>
      <c r="G12" s="1">
        <v>37</v>
      </c>
      <c r="H12" s="1">
        <v>19</v>
      </c>
      <c r="I12" s="1">
        <v>19</v>
      </c>
      <c r="J12" s="1">
        <v>19</v>
      </c>
      <c r="K12" s="1">
        <v>3</v>
      </c>
      <c r="L12" s="1">
        <v>100</v>
      </c>
      <c r="M12" s="10">
        <v>1</v>
      </c>
      <c r="N12">
        <v>13</v>
      </c>
      <c r="O12">
        <v>27</v>
      </c>
      <c r="P12" s="10">
        <v>1</v>
      </c>
      <c r="Q12">
        <v>16</v>
      </c>
      <c r="R12">
        <v>24</v>
      </c>
      <c r="S12" s="10">
        <v>1</v>
      </c>
      <c r="T12">
        <v>0.5625</v>
      </c>
      <c r="U12">
        <v>0.375</v>
      </c>
      <c r="V12" s="12">
        <v>1.5625</v>
      </c>
      <c r="W12">
        <v>0.78870045266628952</v>
      </c>
      <c r="X12" s="12">
        <v>0.21129954733371048</v>
      </c>
      <c r="Y12" s="1" t="s">
        <v>46</v>
      </c>
      <c r="Z12" s="7">
        <v>100</v>
      </c>
      <c r="AA12" s="7">
        <v>18</v>
      </c>
      <c r="AB12" s="7">
        <v>82</v>
      </c>
      <c r="AC12" s="7"/>
    </row>
    <row r="13" spans="1:29" x14ac:dyDescent="0.25">
      <c r="A13" s="7"/>
      <c r="C13" s="1" t="s">
        <v>25</v>
      </c>
      <c r="D13" s="4">
        <v>0</v>
      </c>
      <c r="E13" s="4">
        <v>0</v>
      </c>
      <c r="F13" s="4">
        <v>0</v>
      </c>
      <c r="G13" s="4">
        <v>0</v>
      </c>
      <c r="H13" s="4">
        <v>0</v>
      </c>
      <c r="I13" s="4">
        <v>0</v>
      </c>
      <c r="J13" s="4">
        <v>0</v>
      </c>
      <c r="K13" s="4">
        <v>0</v>
      </c>
      <c r="M13" s="10">
        <v>2</v>
      </c>
      <c r="N13">
        <v>27</v>
      </c>
      <c r="O13">
        <v>33</v>
      </c>
      <c r="P13" s="10">
        <v>2</v>
      </c>
      <c r="Q13">
        <v>24</v>
      </c>
      <c r="R13">
        <v>36</v>
      </c>
      <c r="S13" s="10">
        <v>2</v>
      </c>
      <c r="T13">
        <v>0.375</v>
      </c>
      <c r="U13">
        <v>0.25</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0.41411265970360062</v>
      </c>
      <c r="C15" s="1" t="s">
        <v>13</v>
      </c>
      <c r="D15" s="4">
        <v>0</v>
      </c>
      <c r="E15" s="4">
        <v>0</v>
      </c>
      <c r="F15" s="4">
        <v>0</v>
      </c>
      <c r="G15" s="4">
        <v>0</v>
      </c>
      <c r="H15" s="4">
        <v>0</v>
      </c>
      <c r="I15" s="4">
        <v>0</v>
      </c>
      <c r="J15" s="4">
        <v>0</v>
      </c>
      <c r="K15" s="4">
        <v>0</v>
      </c>
      <c r="AC15" s="7"/>
    </row>
    <row r="16" spans="1:29" x14ac:dyDescent="0.25">
      <c r="A16" s="7"/>
      <c r="B16" s="4">
        <v>0.18004862018859841</v>
      </c>
      <c r="C16" s="1" t="s">
        <v>14</v>
      </c>
      <c r="D16" s="4">
        <v>0</v>
      </c>
      <c r="E16" s="4">
        <v>0</v>
      </c>
      <c r="F16" s="4">
        <v>0</v>
      </c>
      <c r="G16" s="4">
        <v>0</v>
      </c>
      <c r="H16" s="4">
        <v>0</v>
      </c>
      <c r="I16" s="4">
        <v>0</v>
      </c>
      <c r="J16" s="4">
        <v>0</v>
      </c>
      <c r="K16" s="4">
        <v>0</v>
      </c>
      <c r="O16" s="8"/>
      <c r="AC16" s="7"/>
    </row>
    <row r="17" spans="1:29" x14ac:dyDescent="0.25">
      <c r="A17" s="7"/>
      <c r="B17" s="4">
        <v>0.1419095666102744</v>
      </c>
      <c r="C17" s="1" t="s">
        <v>15</v>
      </c>
      <c r="D17" s="4">
        <v>0</v>
      </c>
      <c r="E17" s="4">
        <v>0</v>
      </c>
      <c r="F17" s="4">
        <v>0</v>
      </c>
      <c r="G17" s="4">
        <v>0</v>
      </c>
      <c r="H17" s="4">
        <v>0</v>
      </c>
      <c r="I17" s="4">
        <v>0</v>
      </c>
      <c r="J17" s="4">
        <v>0</v>
      </c>
      <c r="K17" s="4">
        <v>0</v>
      </c>
      <c r="AC17" s="7"/>
    </row>
    <row r="18" spans="1:29" x14ac:dyDescent="0.25">
      <c r="A18" s="7"/>
      <c r="B18" s="4">
        <v>6.1699687418466397E-2</v>
      </c>
      <c r="C18" s="1" t="s">
        <v>16</v>
      </c>
      <c r="D18" s="4">
        <v>0</v>
      </c>
      <c r="E18" s="4">
        <v>0</v>
      </c>
      <c r="F18" s="4">
        <v>0</v>
      </c>
      <c r="G18" s="4">
        <v>0</v>
      </c>
      <c r="H18" s="4">
        <v>0</v>
      </c>
      <c r="I18" s="4">
        <v>0</v>
      </c>
      <c r="J18" s="4">
        <v>0</v>
      </c>
      <c r="K18" s="4">
        <v>0</v>
      </c>
      <c r="AC18" s="7"/>
    </row>
    <row r="19" spans="1:29" x14ac:dyDescent="0.25">
      <c r="A19" s="7"/>
      <c r="B19" s="4">
        <v>0.10497477470976389</v>
      </c>
      <c r="C19" s="1" t="s">
        <v>17</v>
      </c>
      <c r="D19" s="4">
        <v>0</v>
      </c>
      <c r="E19" s="4">
        <v>0</v>
      </c>
      <c r="F19" s="4">
        <v>0</v>
      </c>
      <c r="G19" s="4">
        <v>0</v>
      </c>
      <c r="H19" s="4">
        <v>0</v>
      </c>
      <c r="I19" s="4">
        <v>0</v>
      </c>
      <c r="J19" s="4">
        <v>0</v>
      </c>
      <c r="K19" s="4">
        <v>0</v>
      </c>
      <c r="AC19" s="7"/>
    </row>
    <row r="20" spans="1:29" x14ac:dyDescent="0.25">
      <c r="A20" s="7"/>
      <c r="B20" s="4">
        <v>4.5641114557159308E-2</v>
      </c>
      <c r="C20" s="1" t="s">
        <v>18</v>
      </c>
      <c r="D20" s="4">
        <v>0</v>
      </c>
      <c r="E20" s="4">
        <v>0</v>
      </c>
      <c r="F20" s="4">
        <v>0</v>
      </c>
      <c r="G20" s="4">
        <v>0</v>
      </c>
      <c r="H20" s="4">
        <v>0</v>
      </c>
      <c r="I20" s="4">
        <v>0</v>
      </c>
      <c r="J20" s="4">
        <v>0</v>
      </c>
      <c r="K20" s="4">
        <v>0</v>
      </c>
      <c r="AC20" s="7"/>
    </row>
    <row r="21" spans="1:29" x14ac:dyDescent="0.25">
      <c r="A21" s="7"/>
      <c r="B21" s="4">
        <v>3.597312092495844E-2</v>
      </c>
      <c r="C21" s="1" t="s">
        <v>19</v>
      </c>
      <c r="D21" s="4">
        <v>0</v>
      </c>
      <c r="E21" s="4">
        <v>0</v>
      </c>
      <c r="F21" s="4">
        <v>0</v>
      </c>
      <c r="G21" s="4">
        <v>0</v>
      </c>
      <c r="H21" s="4">
        <v>0</v>
      </c>
      <c r="I21" s="4">
        <v>0</v>
      </c>
      <c r="J21" s="4">
        <v>0</v>
      </c>
      <c r="K21" s="4">
        <v>0</v>
      </c>
      <c r="M21" t="s">
        <v>62</v>
      </c>
      <c r="AC21" s="7"/>
    </row>
    <row r="22" spans="1:29" x14ac:dyDescent="0.25">
      <c r="A22" s="7"/>
      <c r="B22" s="4">
        <v>1.5640455887178592E-2</v>
      </c>
      <c r="C22" s="1" t="s">
        <v>20</v>
      </c>
      <c r="D22" s="4">
        <v>0</v>
      </c>
      <c r="E22" s="4">
        <v>0</v>
      </c>
      <c r="F22" s="4">
        <v>0</v>
      </c>
      <c r="G22" s="4">
        <v>0</v>
      </c>
      <c r="H22" s="4">
        <v>0</v>
      </c>
      <c r="I22" s="4">
        <v>0</v>
      </c>
      <c r="J22" s="4">
        <v>0</v>
      </c>
      <c r="K22" s="4">
        <v>0</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6.4000000000000015E-2</v>
      </c>
      <c r="P24">
        <v>9.6000000000000016E-2</v>
      </c>
      <c r="Q24">
        <v>9.6000000000000002E-2</v>
      </c>
      <c r="R24">
        <v>0.14399999999999999</v>
      </c>
      <c r="S24">
        <v>9.6000000000000002E-2</v>
      </c>
      <c r="T24">
        <v>0.14399999999999999</v>
      </c>
      <c r="U24">
        <v>0.14399999999999999</v>
      </c>
      <c r="V24">
        <v>0.216</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0.18004862018859841</v>
      </c>
      <c r="C26" s="1" t="s">
        <v>13</v>
      </c>
      <c r="D26" s="4">
        <v>0</v>
      </c>
      <c r="E26" s="4">
        <v>0</v>
      </c>
      <c r="F26" s="4">
        <v>0</v>
      </c>
      <c r="G26" s="4">
        <v>0</v>
      </c>
      <c r="H26" s="4">
        <v>0</v>
      </c>
      <c r="I26" s="4">
        <v>0</v>
      </c>
      <c r="J26" s="4">
        <v>0</v>
      </c>
      <c r="K26" s="4">
        <v>0</v>
      </c>
      <c r="M26" s="4">
        <v>6.4000000000000015E-2</v>
      </c>
      <c r="N26" s="1" t="s">
        <v>13</v>
      </c>
      <c r="O26">
        <v>4.0960000000000015E-3</v>
      </c>
      <c r="P26">
        <v>6.1440000000000028E-3</v>
      </c>
      <c r="Q26">
        <v>6.1440000000000019E-3</v>
      </c>
      <c r="R26">
        <v>9.216000000000002E-3</v>
      </c>
      <c r="S26">
        <v>6.1440000000000019E-3</v>
      </c>
      <c r="T26">
        <v>9.216000000000002E-3</v>
      </c>
      <c r="U26">
        <v>9.216000000000002E-3</v>
      </c>
      <c r="V26">
        <v>1.3824000000000003E-2</v>
      </c>
      <c r="AC26" s="7"/>
    </row>
    <row r="27" spans="1:29" x14ac:dyDescent="0.25">
      <c r="A27" s="7"/>
      <c r="B27" s="4">
        <v>0.41411265970360062</v>
      </c>
      <c r="C27" s="1" t="s">
        <v>14</v>
      </c>
      <c r="D27" s="4">
        <v>0</v>
      </c>
      <c r="E27" s="4">
        <v>0</v>
      </c>
      <c r="F27" s="4">
        <v>0</v>
      </c>
      <c r="G27" s="4">
        <v>0</v>
      </c>
      <c r="H27" s="4">
        <v>0</v>
      </c>
      <c r="I27" s="4">
        <v>0</v>
      </c>
      <c r="J27" s="4">
        <v>0</v>
      </c>
      <c r="K27" s="4">
        <v>0</v>
      </c>
      <c r="M27" s="4">
        <v>9.6000000000000016E-2</v>
      </c>
      <c r="N27" s="1" t="s">
        <v>14</v>
      </c>
      <c r="O27">
        <v>6.1440000000000028E-3</v>
      </c>
      <c r="P27">
        <v>9.2160000000000037E-3</v>
      </c>
      <c r="Q27">
        <v>9.216000000000002E-3</v>
      </c>
      <c r="R27">
        <v>1.3824000000000001E-2</v>
      </c>
      <c r="S27">
        <v>9.216000000000002E-3</v>
      </c>
      <c r="T27">
        <v>1.3824000000000001E-2</v>
      </c>
      <c r="U27">
        <v>1.3824000000000001E-2</v>
      </c>
      <c r="V27">
        <v>2.0736000000000004E-2</v>
      </c>
      <c r="AC27" s="7"/>
    </row>
    <row r="28" spans="1:29" x14ac:dyDescent="0.25">
      <c r="A28" s="7"/>
      <c r="B28" s="4">
        <v>6.1699687418466397E-2</v>
      </c>
      <c r="C28" s="1" t="s">
        <v>15</v>
      </c>
      <c r="D28" s="4">
        <v>0</v>
      </c>
      <c r="E28" s="4">
        <v>0</v>
      </c>
      <c r="F28" s="4">
        <v>0</v>
      </c>
      <c r="G28" s="4">
        <v>0</v>
      </c>
      <c r="H28" s="4">
        <v>0</v>
      </c>
      <c r="I28" s="4">
        <v>0</v>
      </c>
      <c r="J28" s="4">
        <v>0</v>
      </c>
      <c r="K28" s="4">
        <v>0</v>
      </c>
      <c r="M28" s="4">
        <v>9.6000000000000002E-2</v>
      </c>
      <c r="N28" s="1" t="s">
        <v>15</v>
      </c>
      <c r="O28">
        <v>6.1440000000000019E-3</v>
      </c>
      <c r="P28">
        <v>9.216000000000002E-3</v>
      </c>
      <c r="Q28">
        <v>9.2160000000000002E-3</v>
      </c>
      <c r="R28">
        <v>1.3823999999999999E-2</v>
      </c>
      <c r="S28">
        <v>9.2160000000000002E-3</v>
      </c>
      <c r="T28">
        <v>1.3823999999999999E-2</v>
      </c>
      <c r="U28">
        <v>1.3823999999999999E-2</v>
      </c>
      <c r="V28">
        <v>2.0736000000000001E-2</v>
      </c>
      <c r="AC28" s="7"/>
    </row>
    <row r="29" spans="1:29" x14ac:dyDescent="0.25">
      <c r="A29" s="7"/>
      <c r="B29" s="4">
        <v>0.1419095666102744</v>
      </c>
      <c r="C29" s="1" t="s">
        <v>16</v>
      </c>
      <c r="D29" s="4">
        <v>0</v>
      </c>
      <c r="E29" s="4">
        <v>0</v>
      </c>
      <c r="F29" s="4">
        <v>0</v>
      </c>
      <c r="G29" s="4">
        <v>0</v>
      </c>
      <c r="H29" s="4">
        <v>0</v>
      </c>
      <c r="I29" s="4">
        <v>0</v>
      </c>
      <c r="J29" s="4">
        <v>0</v>
      </c>
      <c r="K29" s="4">
        <v>0</v>
      </c>
      <c r="M29" s="4">
        <v>0.14399999999999999</v>
      </c>
      <c r="N29" s="1" t="s">
        <v>16</v>
      </c>
      <c r="O29">
        <v>9.216000000000002E-3</v>
      </c>
      <c r="P29">
        <v>1.3824000000000001E-2</v>
      </c>
      <c r="Q29">
        <v>1.3823999999999999E-2</v>
      </c>
      <c r="R29">
        <v>2.0735999999999997E-2</v>
      </c>
      <c r="S29">
        <v>1.3823999999999999E-2</v>
      </c>
      <c r="T29">
        <v>2.0735999999999997E-2</v>
      </c>
      <c r="U29">
        <v>2.0735999999999997E-2</v>
      </c>
      <c r="V29">
        <v>3.1103999999999996E-2</v>
      </c>
      <c r="AC29" s="7"/>
    </row>
    <row r="30" spans="1:29" x14ac:dyDescent="0.25">
      <c r="A30" s="7"/>
      <c r="B30" s="4">
        <v>4.5641114557159308E-2</v>
      </c>
      <c r="C30" s="1" t="s">
        <v>17</v>
      </c>
      <c r="D30" s="4">
        <v>0</v>
      </c>
      <c r="E30" s="4">
        <v>0</v>
      </c>
      <c r="F30" s="4">
        <v>0</v>
      </c>
      <c r="G30" s="4">
        <v>0</v>
      </c>
      <c r="H30" s="4">
        <v>0</v>
      </c>
      <c r="I30" s="4">
        <v>0</v>
      </c>
      <c r="J30" s="4">
        <v>0</v>
      </c>
      <c r="K30" s="4">
        <v>0</v>
      </c>
      <c r="M30" s="4">
        <v>9.6000000000000002E-2</v>
      </c>
      <c r="N30" s="1" t="s">
        <v>17</v>
      </c>
      <c r="O30">
        <v>6.1440000000000019E-3</v>
      </c>
      <c r="P30">
        <v>9.216000000000002E-3</v>
      </c>
      <c r="Q30">
        <v>9.2160000000000002E-3</v>
      </c>
      <c r="R30">
        <v>1.3823999999999999E-2</v>
      </c>
      <c r="S30">
        <v>9.2160000000000002E-3</v>
      </c>
      <c r="T30">
        <v>1.3823999999999999E-2</v>
      </c>
      <c r="U30">
        <v>1.3823999999999999E-2</v>
      </c>
      <c r="V30">
        <v>2.0736000000000001E-2</v>
      </c>
      <c r="AC30" s="7"/>
    </row>
    <row r="31" spans="1:29" x14ac:dyDescent="0.25">
      <c r="A31" s="7"/>
      <c r="B31" s="4">
        <v>0.10497477470976389</v>
      </c>
      <c r="C31" s="1" t="s">
        <v>18</v>
      </c>
      <c r="D31" s="4">
        <v>0</v>
      </c>
      <c r="E31" s="4">
        <v>0</v>
      </c>
      <c r="F31" s="4">
        <v>0</v>
      </c>
      <c r="G31" s="4">
        <v>0</v>
      </c>
      <c r="H31" s="4">
        <v>0</v>
      </c>
      <c r="I31" s="4">
        <v>0</v>
      </c>
      <c r="J31" s="4">
        <v>0</v>
      </c>
      <c r="K31" s="4">
        <v>0</v>
      </c>
      <c r="M31" s="4">
        <v>0.14399999999999999</v>
      </c>
      <c r="N31" s="1" t="s">
        <v>18</v>
      </c>
      <c r="O31">
        <v>9.216000000000002E-3</v>
      </c>
      <c r="P31">
        <v>1.3824000000000001E-2</v>
      </c>
      <c r="Q31">
        <v>1.3823999999999999E-2</v>
      </c>
      <c r="R31">
        <v>2.0735999999999997E-2</v>
      </c>
      <c r="S31">
        <v>1.3823999999999999E-2</v>
      </c>
      <c r="T31">
        <v>2.0735999999999997E-2</v>
      </c>
      <c r="U31">
        <v>2.0735999999999997E-2</v>
      </c>
      <c r="V31">
        <v>3.1103999999999996E-2</v>
      </c>
      <c r="AC31" s="7"/>
    </row>
    <row r="32" spans="1:29" x14ac:dyDescent="0.25">
      <c r="A32" s="7"/>
      <c r="B32" s="4">
        <v>1.5640455887178592E-2</v>
      </c>
      <c r="C32" s="1" t="s">
        <v>19</v>
      </c>
      <c r="D32" s="4">
        <v>0</v>
      </c>
      <c r="E32" s="4">
        <v>0</v>
      </c>
      <c r="F32" s="4">
        <v>0</v>
      </c>
      <c r="G32" s="4">
        <v>0</v>
      </c>
      <c r="H32" s="4">
        <v>0</v>
      </c>
      <c r="I32" s="4">
        <v>0</v>
      </c>
      <c r="J32" s="4">
        <v>0</v>
      </c>
      <c r="K32" s="4">
        <v>0</v>
      </c>
      <c r="M32" s="4">
        <v>0.14399999999999999</v>
      </c>
      <c r="N32" s="1" t="s">
        <v>19</v>
      </c>
      <c r="O32">
        <v>9.216000000000002E-3</v>
      </c>
      <c r="P32">
        <v>1.3824000000000001E-2</v>
      </c>
      <c r="Q32">
        <v>1.3823999999999999E-2</v>
      </c>
      <c r="R32">
        <v>2.0735999999999997E-2</v>
      </c>
      <c r="S32">
        <v>1.3823999999999999E-2</v>
      </c>
      <c r="T32">
        <v>2.0735999999999997E-2</v>
      </c>
      <c r="U32">
        <v>2.0735999999999997E-2</v>
      </c>
      <c r="V32">
        <v>3.1103999999999996E-2</v>
      </c>
      <c r="AC32" s="7"/>
    </row>
    <row r="33" spans="1:29" x14ac:dyDescent="0.25">
      <c r="A33" s="7"/>
      <c r="B33" s="4">
        <v>3.597312092495844E-2</v>
      </c>
      <c r="C33" s="1" t="s">
        <v>20</v>
      </c>
      <c r="D33" s="4">
        <v>0</v>
      </c>
      <c r="E33" s="4">
        <v>0</v>
      </c>
      <c r="F33" s="4">
        <v>0</v>
      </c>
      <c r="G33" s="4">
        <v>0</v>
      </c>
      <c r="H33" s="4">
        <v>0</v>
      </c>
      <c r="I33" s="4">
        <v>0</v>
      </c>
      <c r="J33" s="4">
        <v>0</v>
      </c>
      <c r="K33" s="4">
        <v>0</v>
      </c>
      <c r="M33" s="4">
        <v>0.216</v>
      </c>
      <c r="N33" s="1" t="s">
        <v>20</v>
      </c>
      <c r="O33">
        <v>1.3824000000000003E-2</v>
      </c>
      <c r="P33">
        <v>2.0736000000000004E-2</v>
      </c>
      <c r="Q33">
        <v>2.0736000000000001E-2</v>
      </c>
      <c r="R33">
        <v>3.1103999999999996E-2</v>
      </c>
      <c r="S33">
        <v>2.0736000000000001E-2</v>
      </c>
      <c r="T33">
        <v>3.1103999999999996E-2</v>
      </c>
      <c r="U33">
        <v>3.1103999999999996E-2</v>
      </c>
      <c r="V33">
        <v>4.6655999999999996E-2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0.1419095666102744</v>
      </c>
      <c r="C37" s="1" t="s">
        <v>13</v>
      </c>
      <c r="D37" s="4">
        <v>0</v>
      </c>
      <c r="E37" s="4">
        <v>0</v>
      </c>
      <c r="F37" s="4">
        <v>0</v>
      </c>
      <c r="G37" s="4">
        <v>0</v>
      </c>
      <c r="H37" s="4">
        <v>0</v>
      </c>
      <c r="I37" s="4">
        <v>0</v>
      </c>
      <c r="J37" s="4">
        <v>0</v>
      </c>
      <c r="K37" s="4">
        <v>0</v>
      </c>
      <c r="N37" s="1" t="s">
        <v>13</v>
      </c>
      <c r="O37" s="5">
        <v>0.40960000000000013</v>
      </c>
      <c r="P37" s="5">
        <v>0.61440000000000028</v>
      </c>
      <c r="Q37" s="5">
        <v>0.61440000000000017</v>
      </c>
      <c r="R37" s="5">
        <v>0.9216000000000002</v>
      </c>
      <c r="S37" s="5">
        <v>0.61440000000000017</v>
      </c>
      <c r="T37" s="5">
        <v>0.9216000000000002</v>
      </c>
      <c r="U37" s="5">
        <v>0.9216000000000002</v>
      </c>
      <c r="V37" s="5">
        <v>1.3824000000000003</v>
      </c>
      <c r="X37">
        <v>6.4000000000000021</v>
      </c>
      <c r="Y37">
        <v>0.40960000000000013</v>
      </c>
      <c r="Z37">
        <v>5.9904000000000019</v>
      </c>
      <c r="AA37">
        <v>0.40960000000000013</v>
      </c>
      <c r="AB37">
        <v>4.1573337606837626</v>
      </c>
      <c r="AC37" s="7"/>
    </row>
    <row r="38" spans="1:29" x14ac:dyDescent="0.25">
      <c r="A38" s="7"/>
      <c r="B38" s="4">
        <v>6.1699687418466397E-2</v>
      </c>
      <c r="C38" s="1" t="s">
        <v>14</v>
      </c>
      <c r="D38" s="4">
        <v>0</v>
      </c>
      <c r="E38" s="4">
        <v>0</v>
      </c>
      <c r="F38" s="4">
        <v>0</v>
      </c>
      <c r="G38" s="4">
        <v>0</v>
      </c>
      <c r="H38" s="4">
        <v>0</v>
      </c>
      <c r="I38" s="4">
        <v>0</v>
      </c>
      <c r="J38" s="4">
        <v>0</v>
      </c>
      <c r="K38" s="4">
        <v>0</v>
      </c>
      <c r="N38" s="1" t="s">
        <v>14</v>
      </c>
      <c r="O38" s="5">
        <v>0.61440000000000028</v>
      </c>
      <c r="P38" s="5">
        <v>0.92160000000000042</v>
      </c>
      <c r="Q38" s="5">
        <v>0.9216000000000002</v>
      </c>
      <c r="R38" s="5">
        <v>1.3824000000000001</v>
      </c>
      <c r="S38" s="5">
        <v>0.9216000000000002</v>
      </c>
      <c r="T38" s="5">
        <v>1.3824000000000001</v>
      </c>
      <c r="U38" s="5">
        <v>1.3824000000000001</v>
      </c>
      <c r="V38" s="5">
        <v>2.0736000000000003</v>
      </c>
      <c r="X38">
        <v>9.6000000000000032</v>
      </c>
      <c r="Y38">
        <v>0.92160000000000042</v>
      </c>
      <c r="Z38">
        <v>8.6784000000000034</v>
      </c>
      <c r="AA38">
        <v>0.92160000000000042</v>
      </c>
      <c r="AB38">
        <v>6.7936286135693242</v>
      </c>
      <c r="AC38" s="7"/>
    </row>
    <row r="39" spans="1:29" x14ac:dyDescent="0.25">
      <c r="A39" s="7"/>
      <c r="B39" s="4">
        <v>0.41411265970360062</v>
      </c>
      <c r="C39" s="1" t="s">
        <v>15</v>
      </c>
      <c r="D39" s="4">
        <v>0</v>
      </c>
      <c r="E39" s="4">
        <v>0</v>
      </c>
      <c r="F39" s="4">
        <v>0</v>
      </c>
      <c r="G39" s="4">
        <v>0</v>
      </c>
      <c r="H39" s="4">
        <v>0</v>
      </c>
      <c r="I39" s="4">
        <v>0</v>
      </c>
      <c r="J39" s="4">
        <v>0</v>
      </c>
      <c r="K39" s="4">
        <v>0</v>
      </c>
      <c r="N39" s="1" t="s">
        <v>15</v>
      </c>
      <c r="O39" s="5">
        <v>0.61440000000000017</v>
      </c>
      <c r="P39" s="5">
        <v>0.9216000000000002</v>
      </c>
      <c r="Q39" s="5">
        <v>0.92159999999999997</v>
      </c>
      <c r="R39" s="5">
        <v>1.3823999999999999</v>
      </c>
      <c r="S39" s="5">
        <v>0.92159999999999997</v>
      </c>
      <c r="T39" s="5">
        <v>1.3823999999999999</v>
      </c>
      <c r="U39" s="5">
        <v>1.3823999999999999</v>
      </c>
      <c r="V39" s="5">
        <v>2.0735999999999999</v>
      </c>
      <c r="X39">
        <v>9.5999999999999979</v>
      </c>
      <c r="Y39">
        <v>0.92159999999999997</v>
      </c>
      <c r="Z39">
        <v>8.6783999999999981</v>
      </c>
      <c r="AA39">
        <v>6.6694444444444492E-3</v>
      </c>
      <c r="AB39">
        <v>8.6783999999999981</v>
      </c>
      <c r="AC39" s="7"/>
    </row>
    <row r="40" spans="1:29" x14ac:dyDescent="0.25">
      <c r="A40" s="7"/>
      <c r="B40" s="4">
        <v>0.18004862018859841</v>
      </c>
      <c r="C40" s="1" t="s">
        <v>16</v>
      </c>
      <c r="D40" s="4">
        <v>0</v>
      </c>
      <c r="E40" s="4">
        <v>0</v>
      </c>
      <c r="F40" s="4">
        <v>0</v>
      </c>
      <c r="G40" s="4">
        <v>0</v>
      </c>
      <c r="H40" s="4">
        <v>0</v>
      </c>
      <c r="I40" s="4">
        <v>0</v>
      </c>
      <c r="J40" s="4">
        <v>0</v>
      </c>
      <c r="K40" s="4">
        <v>0</v>
      </c>
      <c r="N40" s="1" t="s">
        <v>16</v>
      </c>
      <c r="O40" s="5">
        <v>0.9216000000000002</v>
      </c>
      <c r="P40" s="5">
        <v>1.3824000000000001</v>
      </c>
      <c r="Q40" s="5">
        <v>1.3823999999999999</v>
      </c>
      <c r="R40" s="5">
        <v>2.0735999999999999</v>
      </c>
      <c r="S40" s="5">
        <v>1.3823999999999999</v>
      </c>
      <c r="T40" s="5">
        <v>2.0735999999999999</v>
      </c>
      <c r="U40" s="5">
        <v>2.0735999999999999</v>
      </c>
      <c r="V40" s="5">
        <v>3.1103999999999998</v>
      </c>
      <c r="X40">
        <v>14.4</v>
      </c>
      <c r="Y40">
        <v>2.0735999999999999</v>
      </c>
      <c r="Z40">
        <v>12.3264</v>
      </c>
      <c r="AA40">
        <v>1.7896493827160496</v>
      </c>
      <c r="AB40">
        <v>34.67336261682243</v>
      </c>
      <c r="AC40" s="7"/>
    </row>
    <row r="41" spans="1:29" x14ac:dyDescent="0.25">
      <c r="A41" s="7"/>
      <c r="B41" s="4">
        <v>3.597312092495844E-2</v>
      </c>
      <c r="C41" s="1" t="s">
        <v>17</v>
      </c>
      <c r="D41" s="4">
        <v>0</v>
      </c>
      <c r="E41" s="4">
        <v>0</v>
      </c>
      <c r="F41" s="4">
        <v>0</v>
      </c>
      <c r="G41" s="4">
        <v>0</v>
      </c>
      <c r="H41" s="4">
        <v>0</v>
      </c>
      <c r="I41" s="4">
        <v>0</v>
      </c>
      <c r="J41" s="4">
        <v>0</v>
      </c>
      <c r="K41" s="4">
        <v>0</v>
      </c>
      <c r="N41" s="1" t="s">
        <v>17</v>
      </c>
      <c r="O41" s="5">
        <v>0.61440000000000017</v>
      </c>
      <c r="P41" s="5">
        <v>0.9216000000000002</v>
      </c>
      <c r="Q41" s="5">
        <v>0.92159999999999997</v>
      </c>
      <c r="R41" s="5">
        <v>1.3823999999999999</v>
      </c>
      <c r="S41" s="5">
        <v>0.92159999999999997</v>
      </c>
      <c r="T41" s="5">
        <v>1.3823999999999999</v>
      </c>
      <c r="U41" s="5">
        <v>1.3823999999999999</v>
      </c>
      <c r="V41" s="5">
        <v>2.0735999999999999</v>
      </c>
      <c r="X41">
        <v>9.5999999999999979</v>
      </c>
      <c r="Y41">
        <v>0.92159999999999997</v>
      </c>
      <c r="Z41">
        <v>8.6783999999999981</v>
      </c>
      <c r="AA41">
        <v>10.282711111111112</v>
      </c>
      <c r="AB41">
        <v>4.6048380530973487</v>
      </c>
      <c r="AC41" s="7"/>
    </row>
    <row r="42" spans="1:29" x14ac:dyDescent="0.25">
      <c r="A42" s="7"/>
      <c r="B42" s="4">
        <v>1.5640455887178592E-2</v>
      </c>
      <c r="C42" s="1" t="s">
        <v>18</v>
      </c>
      <c r="D42" s="4">
        <v>0</v>
      </c>
      <c r="E42" s="4">
        <v>0</v>
      </c>
      <c r="F42" s="4">
        <v>0</v>
      </c>
      <c r="G42" s="4">
        <v>0</v>
      </c>
      <c r="H42" s="4">
        <v>0</v>
      </c>
      <c r="I42" s="4">
        <v>0</v>
      </c>
      <c r="J42" s="4">
        <v>0</v>
      </c>
      <c r="K42" s="4">
        <v>0</v>
      </c>
      <c r="N42" s="1" t="s">
        <v>18</v>
      </c>
      <c r="O42" s="5">
        <v>0.9216000000000002</v>
      </c>
      <c r="P42" s="5">
        <v>1.3824000000000001</v>
      </c>
      <c r="Q42" s="5">
        <v>1.3823999999999999</v>
      </c>
      <c r="R42" s="5">
        <v>2.0735999999999999</v>
      </c>
      <c r="S42" s="5">
        <v>1.3823999999999999</v>
      </c>
      <c r="T42" s="5">
        <v>2.0735999999999999</v>
      </c>
      <c r="U42" s="5">
        <v>2.0735999999999999</v>
      </c>
      <c r="V42" s="5">
        <v>3.1103999999999998</v>
      </c>
      <c r="X42">
        <v>14.4</v>
      </c>
      <c r="Y42">
        <v>2.0735999999999999</v>
      </c>
      <c r="Z42">
        <v>12.3264</v>
      </c>
      <c r="AA42">
        <v>1.7896493827160496</v>
      </c>
      <c r="AB42">
        <v>0.57990467289719649</v>
      </c>
      <c r="AC42" s="7"/>
    </row>
    <row r="43" spans="1:29" x14ac:dyDescent="0.25">
      <c r="A43" s="7"/>
      <c r="B43" s="4">
        <v>0.10497477470976389</v>
      </c>
      <c r="C43" s="1" t="s">
        <v>19</v>
      </c>
      <c r="D43" s="4">
        <v>0</v>
      </c>
      <c r="E43" s="4">
        <v>0</v>
      </c>
      <c r="F43" s="4">
        <v>0</v>
      </c>
      <c r="G43" s="4">
        <v>0</v>
      </c>
      <c r="H43" s="4">
        <v>0</v>
      </c>
      <c r="I43" s="4">
        <v>0</v>
      </c>
      <c r="J43" s="4">
        <v>0</v>
      </c>
      <c r="K43" s="4">
        <v>0</v>
      </c>
      <c r="N43" s="1" t="s">
        <v>19</v>
      </c>
      <c r="O43" s="5">
        <v>0.9216000000000002</v>
      </c>
      <c r="P43" s="5">
        <v>1.3824000000000001</v>
      </c>
      <c r="Q43" s="5">
        <v>1.3823999999999999</v>
      </c>
      <c r="R43" s="5">
        <v>2.0735999999999999</v>
      </c>
      <c r="S43" s="5">
        <v>1.3823999999999999</v>
      </c>
      <c r="T43" s="5">
        <v>2.0735999999999999</v>
      </c>
      <c r="U43" s="5">
        <v>2.0735999999999999</v>
      </c>
      <c r="V43" s="5">
        <v>3.1103999999999998</v>
      </c>
      <c r="X43">
        <v>14.4</v>
      </c>
      <c r="Y43">
        <v>2.0735999999999999</v>
      </c>
      <c r="Z43">
        <v>12.3264</v>
      </c>
      <c r="AA43">
        <v>1.7896493827160496</v>
      </c>
      <c r="AB43">
        <v>0.57990467289719649</v>
      </c>
      <c r="AC43" s="7"/>
    </row>
    <row r="44" spans="1:29" x14ac:dyDescent="0.25">
      <c r="A44" s="7"/>
      <c r="B44" s="4">
        <v>4.5641114557159308E-2</v>
      </c>
      <c r="C44" s="1" t="s">
        <v>20</v>
      </c>
      <c r="D44" s="4">
        <v>0</v>
      </c>
      <c r="E44" s="4">
        <v>0</v>
      </c>
      <c r="F44" s="4">
        <v>0</v>
      </c>
      <c r="G44" s="4">
        <v>0</v>
      </c>
      <c r="H44" s="4">
        <v>0</v>
      </c>
      <c r="I44" s="4">
        <v>0</v>
      </c>
      <c r="J44" s="4">
        <v>0</v>
      </c>
      <c r="K44" s="4">
        <v>0</v>
      </c>
      <c r="N44" s="1" t="s">
        <v>20</v>
      </c>
      <c r="O44" s="5">
        <v>1.3824000000000003</v>
      </c>
      <c r="P44" s="5">
        <v>2.0736000000000003</v>
      </c>
      <c r="Q44" s="5">
        <v>2.0735999999999999</v>
      </c>
      <c r="R44" s="5">
        <v>3.1103999999999998</v>
      </c>
      <c r="S44" s="5">
        <v>2.0735999999999999</v>
      </c>
      <c r="T44" s="5">
        <v>3.1103999999999998</v>
      </c>
      <c r="U44" s="5">
        <v>3.1103999999999998</v>
      </c>
      <c r="V44" s="5">
        <v>4.6655999999999995</v>
      </c>
      <c r="X44">
        <v>21.6</v>
      </c>
      <c r="Y44">
        <v>4.6655999999999995</v>
      </c>
      <c r="Z44">
        <v>16.934400000000004</v>
      </c>
      <c r="AA44">
        <v>2.8799347050754456</v>
      </c>
      <c r="AB44">
        <v>13.170605593348455</v>
      </c>
      <c r="AC44" s="7"/>
    </row>
    <row r="45" spans="1:29" x14ac:dyDescent="0.25">
      <c r="A45" s="7"/>
      <c r="X45" s="9">
        <v>100.00000000000003</v>
      </c>
      <c r="Y45" s="9">
        <v>14.060799999999999</v>
      </c>
      <c r="Z45" s="9">
        <v>85.9392</v>
      </c>
      <c r="AA45" s="9">
        <v>19.869463408779151</v>
      </c>
      <c r="AB45" s="9">
        <v>73.237977983315702</v>
      </c>
      <c r="AC45" s="7"/>
    </row>
    <row r="46" spans="1:29" x14ac:dyDescent="0.25">
      <c r="A46" s="7"/>
      <c r="C46" s="1" t="s">
        <v>28</v>
      </c>
      <c r="D46" s="4">
        <v>3.1375475809790221E-2</v>
      </c>
      <c r="E46" s="4">
        <v>7.2163739569057764E-2</v>
      </c>
      <c r="F46" s="4">
        <v>9.1558180659805533E-2</v>
      </c>
      <c r="G46" s="4">
        <v>0.2105842392512588</v>
      </c>
      <c r="H46" s="4">
        <v>7.9534721466901787E-3</v>
      </c>
      <c r="I46" s="4">
        <v>1.8293022746268983E-2</v>
      </c>
      <c r="J46" s="4">
        <v>2.3209383153072877E-2</v>
      </c>
      <c r="K46" s="4">
        <v>5.3381688665712891E-2</v>
      </c>
      <c r="P46" t="s">
        <v>70</v>
      </c>
      <c r="AB46" s="22">
        <v>93.107441392094856</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6.1699687418466397E-2</v>
      </c>
      <c r="C48" s="1" t="s">
        <v>13</v>
      </c>
      <c r="D48" s="4">
        <v>1.9358570500697106E-3</v>
      </c>
      <c r="E48" s="4">
        <v>4.452480174358479E-3</v>
      </c>
      <c r="F48" s="4">
        <v>5.6491111273134767E-3</v>
      </c>
      <c r="G48" s="4">
        <v>1.299298173705821E-2</v>
      </c>
      <c r="H48" s="4">
        <v>4.9072674534226298E-4</v>
      </c>
      <c r="I48" s="4">
        <v>1.1286737853836921E-3</v>
      </c>
      <c r="J48" s="4">
        <v>1.4320116857200165E-3</v>
      </c>
      <c r="K48" s="4">
        <v>3.2936335045443757E-3</v>
      </c>
      <c r="N48" s="1" t="s">
        <v>13</v>
      </c>
      <c r="O48">
        <v>0.40960000000000013</v>
      </c>
      <c r="P48">
        <v>0.61440000000000028</v>
      </c>
      <c r="Q48">
        <v>0.61440000000000017</v>
      </c>
      <c r="R48">
        <v>0.92160000000000031</v>
      </c>
      <c r="S48">
        <v>0.61440000000000017</v>
      </c>
      <c r="T48">
        <v>0.92160000000000031</v>
      </c>
      <c r="U48">
        <v>0.92160000000000031</v>
      </c>
      <c r="V48">
        <v>0.10577962962962978</v>
      </c>
      <c r="W48" s="7">
        <v>5.1233796296296319</v>
      </c>
      <c r="Z48" t="s">
        <v>67</v>
      </c>
      <c r="AC48" s="7"/>
    </row>
    <row r="49" spans="1:29" x14ac:dyDescent="0.25">
      <c r="A49" s="7"/>
      <c r="B49" s="4">
        <v>0.1419095666102744</v>
      </c>
      <c r="C49" s="1" t="s">
        <v>14</v>
      </c>
      <c r="D49" s="4">
        <v>4.4524801743584782E-3</v>
      </c>
      <c r="E49" s="4">
        <v>1.0240725007221698E-2</v>
      </c>
      <c r="F49" s="4">
        <v>1.299298173705821E-2</v>
      </c>
      <c r="G49" s="4">
        <v>2.9883918127100471E-2</v>
      </c>
      <c r="H49" s="4">
        <v>1.1286737853836921E-3</v>
      </c>
      <c r="I49" s="4">
        <v>2.595954929914923E-3</v>
      </c>
      <c r="J49" s="4">
        <v>3.2936335045443761E-3</v>
      </c>
      <c r="K49" s="4">
        <v>7.5753723034759132E-3</v>
      </c>
      <c r="N49" s="1" t="s">
        <v>14</v>
      </c>
      <c r="O49">
        <v>0.61440000000000028</v>
      </c>
      <c r="P49">
        <v>0.92160000000000042</v>
      </c>
      <c r="Q49">
        <v>0.92160000000000031</v>
      </c>
      <c r="R49">
        <v>1.3824000000000001</v>
      </c>
      <c r="S49">
        <v>0.92160000000000031</v>
      </c>
      <c r="T49">
        <v>1.3824000000000001</v>
      </c>
      <c r="U49">
        <v>1.3824000000000001</v>
      </c>
      <c r="V49">
        <v>0.55585308641975328</v>
      </c>
      <c r="W49" s="7">
        <v>8.0822530864197564</v>
      </c>
      <c r="Z49" t="s">
        <v>69</v>
      </c>
      <c r="AB49">
        <v>12</v>
      </c>
      <c r="AC49" s="7"/>
    </row>
    <row r="50" spans="1:29" x14ac:dyDescent="0.25">
      <c r="A50" s="7"/>
      <c r="B50" s="4">
        <v>0.18004862018859841</v>
      </c>
      <c r="C50" s="1" t="s">
        <v>15</v>
      </c>
      <c r="D50" s="4">
        <v>5.6491111273134767E-3</v>
      </c>
      <c r="E50" s="4">
        <v>1.2992981737058212E-2</v>
      </c>
      <c r="F50" s="4">
        <v>1.6484924094776403E-2</v>
      </c>
      <c r="G50" s="4">
        <v>3.7915401710654835E-2</v>
      </c>
      <c r="H50" s="4">
        <v>1.4320116857200163E-3</v>
      </c>
      <c r="I50" s="4">
        <v>3.2936335045443757E-3</v>
      </c>
      <c r="J50" s="4">
        <v>4.1788174121392728E-3</v>
      </c>
      <c r="K50" s="4">
        <v>9.611299387598948E-3</v>
      </c>
      <c r="N50" s="1" t="s">
        <v>15</v>
      </c>
      <c r="O50">
        <v>0.61440000000000017</v>
      </c>
      <c r="P50">
        <v>0.92160000000000031</v>
      </c>
      <c r="Q50">
        <v>6.6694444444444492E-3</v>
      </c>
      <c r="R50">
        <v>1.3823999999999999</v>
      </c>
      <c r="S50">
        <v>0.92159999999999997</v>
      </c>
      <c r="T50">
        <v>1.3823999999999999</v>
      </c>
      <c r="U50">
        <v>1.3823999999999999</v>
      </c>
      <c r="V50">
        <v>2.0735999999999999</v>
      </c>
      <c r="W50" s="7">
        <v>8.6850694444444443</v>
      </c>
      <c r="AC50" s="7"/>
    </row>
    <row r="51" spans="1:29" x14ac:dyDescent="0.25">
      <c r="A51" s="7"/>
      <c r="B51" s="4">
        <v>0.41411265970360062</v>
      </c>
      <c r="C51" s="1" t="s">
        <v>16</v>
      </c>
      <c r="D51" s="4">
        <v>1.299298173705821E-2</v>
      </c>
      <c r="E51" s="4">
        <v>2.9883918127100475E-2</v>
      </c>
      <c r="F51" s="4">
        <v>3.7915401710654835E-2</v>
      </c>
      <c r="G51" s="4">
        <v>8.7205599407998144E-2</v>
      </c>
      <c r="H51" s="4">
        <v>3.2936335045443757E-3</v>
      </c>
      <c r="I51" s="4">
        <v>7.5753723034759132E-3</v>
      </c>
      <c r="J51" s="4">
        <v>9.6112993875989497E-3</v>
      </c>
      <c r="K51" s="4">
        <v>2.2106033072827918E-2</v>
      </c>
      <c r="N51" s="1" t="s">
        <v>16</v>
      </c>
      <c r="O51">
        <v>0.92160000000000031</v>
      </c>
      <c r="P51">
        <v>1.3824000000000001</v>
      </c>
      <c r="Q51">
        <v>1.3823999999999999</v>
      </c>
      <c r="R51">
        <v>1.7896493827160496</v>
      </c>
      <c r="S51">
        <v>66.91133518518518</v>
      </c>
      <c r="T51">
        <v>38.42622345679014</v>
      </c>
      <c r="U51">
        <v>38.42622345679014</v>
      </c>
      <c r="V51">
        <v>3.1103999999999998</v>
      </c>
      <c r="W51" s="7">
        <v>152.35023148148153</v>
      </c>
      <c r="AC51" s="7"/>
    </row>
    <row r="52" spans="1:29" x14ac:dyDescent="0.25">
      <c r="A52" s="7"/>
      <c r="B52" s="4">
        <v>1.5640455887178592E-2</v>
      </c>
      <c r="C52" s="1" t="s">
        <v>17</v>
      </c>
      <c r="D52" s="4">
        <v>4.9072674534226298E-4</v>
      </c>
      <c r="E52" s="4">
        <v>1.1286737853836923E-3</v>
      </c>
      <c r="F52" s="4">
        <v>1.4320116857200165E-3</v>
      </c>
      <c r="G52" s="4">
        <v>3.2936335045443757E-3</v>
      </c>
      <c r="H52" s="4">
        <v>1.2439593026021136E-4</v>
      </c>
      <c r="I52" s="4">
        <v>2.8611121530617461E-4</v>
      </c>
      <c r="J52" s="4">
        <v>3.6300533337426234E-4</v>
      </c>
      <c r="K52" s="4">
        <v>8.3491394675918392E-4</v>
      </c>
      <c r="N52" s="1" t="s">
        <v>17</v>
      </c>
      <c r="O52">
        <v>0.61440000000000017</v>
      </c>
      <c r="P52">
        <v>0.92160000000000031</v>
      </c>
      <c r="Q52">
        <v>0.92159999999999997</v>
      </c>
      <c r="R52">
        <v>66.91133518518518</v>
      </c>
      <c r="S52">
        <v>10.282711111111112</v>
      </c>
      <c r="T52">
        <v>0.27591851851851867</v>
      </c>
      <c r="U52">
        <v>0.27591851851851867</v>
      </c>
      <c r="V52">
        <v>2.0735999999999999</v>
      </c>
      <c r="W52" s="7">
        <v>82.277083333333337</v>
      </c>
      <c r="AC52" s="7"/>
    </row>
    <row r="53" spans="1:29" x14ac:dyDescent="0.25">
      <c r="A53" s="7"/>
      <c r="B53" s="4">
        <v>3.597312092495844E-2</v>
      </c>
      <c r="C53" s="1" t="s">
        <v>18</v>
      </c>
      <c r="D53" s="4">
        <v>1.1286737853836921E-3</v>
      </c>
      <c r="E53" s="4">
        <v>2.5959549299149234E-3</v>
      </c>
      <c r="F53" s="4">
        <v>3.2936335045443757E-3</v>
      </c>
      <c r="G53" s="4">
        <v>7.5753723034759123E-3</v>
      </c>
      <c r="H53" s="4">
        <v>2.8611121530617461E-4</v>
      </c>
      <c r="I53" s="4">
        <v>6.5805711933454949E-4</v>
      </c>
      <c r="J53" s="4">
        <v>8.3491394675918381E-4</v>
      </c>
      <c r="K53" s="4">
        <v>1.9203059415501733E-3</v>
      </c>
      <c r="N53" s="1" t="s">
        <v>18</v>
      </c>
      <c r="O53">
        <v>0.92160000000000031</v>
      </c>
      <c r="P53">
        <v>1.3824000000000001</v>
      </c>
      <c r="Q53">
        <v>1.3823999999999999</v>
      </c>
      <c r="R53">
        <v>38.42622345679014</v>
      </c>
      <c r="S53">
        <v>0.27591851851851867</v>
      </c>
      <c r="T53">
        <v>1.7896493827160496</v>
      </c>
      <c r="U53">
        <v>2.612345679012338E-3</v>
      </c>
      <c r="V53">
        <v>3.1103999999999998</v>
      </c>
      <c r="W53" s="7">
        <v>47.291203703703715</v>
      </c>
      <c r="AC53" s="7"/>
    </row>
    <row r="54" spans="1:29" x14ac:dyDescent="0.25">
      <c r="A54" s="7"/>
      <c r="B54" s="4">
        <v>4.5641114557159308E-2</v>
      </c>
      <c r="C54" s="1" t="s">
        <v>19</v>
      </c>
      <c r="D54" s="4">
        <v>1.4320116857200161E-3</v>
      </c>
      <c r="E54" s="4">
        <v>3.2936335045443757E-3</v>
      </c>
      <c r="F54" s="4">
        <v>4.178817412139272E-3</v>
      </c>
      <c r="G54" s="4">
        <v>9.6112993875989462E-3</v>
      </c>
      <c r="H54" s="4">
        <v>3.6300533337426224E-4</v>
      </c>
      <c r="I54" s="4">
        <v>8.3491394675918359E-4</v>
      </c>
      <c r="J54" s="4">
        <v>1.0593021152904025E-3</v>
      </c>
      <c r="K54" s="4">
        <v>2.4363997676464149E-3</v>
      </c>
      <c r="N54" s="1" t="s">
        <v>19</v>
      </c>
      <c r="O54">
        <v>0.92160000000000031</v>
      </c>
      <c r="P54">
        <v>1.3824000000000001</v>
      </c>
      <c r="Q54">
        <v>1.3823999999999999</v>
      </c>
      <c r="R54">
        <v>38.42622345679014</v>
      </c>
      <c r="S54">
        <v>0.27591851851851867</v>
      </c>
      <c r="T54">
        <v>2.612345679012338E-3</v>
      </c>
      <c r="U54">
        <v>1.7896493827160496</v>
      </c>
      <c r="V54">
        <v>3.1103999999999998</v>
      </c>
      <c r="W54" s="7">
        <v>47.291203703703715</v>
      </c>
      <c r="AC54" s="7"/>
    </row>
    <row r="55" spans="1:29" x14ac:dyDescent="0.25">
      <c r="A55" s="7"/>
      <c r="B55" s="4">
        <v>0.10497477470976389</v>
      </c>
      <c r="C55" s="1" t="s">
        <v>20</v>
      </c>
      <c r="D55" s="4">
        <v>3.2936335045443753E-3</v>
      </c>
      <c r="E55" s="4">
        <v>7.5753723034759132E-3</v>
      </c>
      <c r="F55" s="4">
        <v>9.611299387598948E-3</v>
      </c>
      <c r="G55" s="4">
        <v>2.2106033072827911E-2</v>
      </c>
      <c r="H55" s="4">
        <v>8.349139467591837E-4</v>
      </c>
      <c r="I55" s="4">
        <v>1.9203059415501729E-3</v>
      </c>
      <c r="J55" s="4">
        <v>2.4363997676464149E-3</v>
      </c>
      <c r="K55" s="4">
        <v>5.6037307413099677E-3</v>
      </c>
      <c r="N55" s="1" t="s">
        <v>20</v>
      </c>
      <c r="O55">
        <v>0.10577962962962978</v>
      </c>
      <c r="P55">
        <v>0.55585308641975328</v>
      </c>
      <c r="Q55">
        <v>2.0735999999999999</v>
      </c>
      <c r="R55">
        <v>3.1103999999999998</v>
      </c>
      <c r="S55">
        <v>2.0735999999999999</v>
      </c>
      <c r="T55">
        <v>3.1103999999999998</v>
      </c>
      <c r="U55">
        <v>3.1103999999999998</v>
      </c>
      <c r="V55">
        <v>2.8799347050754456</v>
      </c>
      <c r="W55" s="7">
        <v>17.019967421124829</v>
      </c>
      <c r="AC55" s="7"/>
    </row>
    <row r="56" spans="1:29" x14ac:dyDescent="0.25">
      <c r="A56" s="7"/>
      <c r="O56" s="7">
        <v>5.1233796296296319</v>
      </c>
      <c r="P56" s="7">
        <v>8.0822530864197564</v>
      </c>
      <c r="Q56" s="7">
        <v>8.6850694444444443</v>
      </c>
      <c r="R56" s="7">
        <v>152.35023148148153</v>
      </c>
      <c r="S56" s="7">
        <v>82.277083333333337</v>
      </c>
      <c r="T56" s="7">
        <v>47.291203703703715</v>
      </c>
      <c r="U56" s="7">
        <v>47.291203703703715</v>
      </c>
      <c r="V56" s="7">
        <v>17.019967421124829</v>
      </c>
      <c r="W56" s="22">
        <v>368.12039180384096</v>
      </c>
      <c r="X56" t="s">
        <v>64</v>
      </c>
      <c r="AC56" s="7"/>
    </row>
    <row r="57" spans="1:29" x14ac:dyDescent="0.25">
      <c r="A57" s="7"/>
      <c r="C57" s="1" t="s">
        <v>29</v>
      </c>
      <c r="D57" s="4">
        <v>1.947302357590015E-2</v>
      </c>
      <c r="E57" s="4">
        <v>8.4665149533229393E-3</v>
      </c>
      <c r="F57" s="4">
        <v>6.6730834508308542E-3</v>
      </c>
      <c r="G57" s="4">
        <v>2.9013347927721407E-3</v>
      </c>
      <c r="H57" s="4">
        <v>7.6818698661487855E-2</v>
      </c>
      <c r="I57" s="4">
        <v>3.3399366994923969E-2</v>
      </c>
      <c r="J57" s="4">
        <v>2.6324498851157011E-2</v>
      </c>
      <c r="K57" s="4">
        <v>1.1445411252820855E-2</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0.10497477470976389</v>
      </c>
      <c r="C59" s="1" t="s">
        <v>13</v>
      </c>
      <c r="D59" s="4">
        <v>2.044176262798039E-3</v>
      </c>
      <c r="E59" s="4">
        <v>8.8877049980192271E-4</v>
      </c>
      <c r="F59" s="4">
        <v>7.005054318704227E-4</v>
      </c>
      <c r="G59" s="4">
        <v>3.0456696622885499E-4</v>
      </c>
      <c r="H59" s="4">
        <v>8.0640255854869287E-3</v>
      </c>
      <c r="I59" s="4">
        <v>3.5060910257408676E-3</v>
      </c>
      <c r="J59" s="4">
        <v>2.7634083362476458E-3</v>
      </c>
      <c r="K59" s="4">
        <v>1.2014794677254659E-3</v>
      </c>
      <c r="AC59" s="7"/>
    </row>
    <row r="60" spans="1:29" x14ac:dyDescent="0.25">
      <c r="A60" s="7"/>
      <c r="B60" s="4">
        <v>4.5641114557159308E-2</v>
      </c>
      <c r="C60" s="1" t="s">
        <v>14</v>
      </c>
      <c r="D60" s="4">
        <v>8.8877049980192271E-4</v>
      </c>
      <c r="E60" s="4">
        <v>3.8642117888451459E-4</v>
      </c>
      <c r="F60" s="4">
        <v>3.0456696622885499E-4</v>
      </c>
      <c r="G60" s="4">
        <v>1.3242015364558533E-4</v>
      </c>
      <c r="H60" s="4">
        <v>3.5060910257408676E-3</v>
      </c>
      <c r="I60" s="4">
        <v>1.5243843351519305E-3</v>
      </c>
      <c r="J60" s="4">
        <v>1.2014794677254657E-3</v>
      </c>
      <c r="K60" s="4">
        <v>5.223813261437969E-4</v>
      </c>
      <c r="O60" s="23"/>
      <c r="P60" s="23"/>
      <c r="Q60" s="23"/>
      <c r="R60" s="23"/>
      <c r="S60" s="23"/>
      <c r="T60" s="23"/>
      <c r="U60" s="23"/>
      <c r="V60" s="23"/>
      <c r="AC60" s="7"/>
    </row>
    <row r="61" spans="1:29" x14ac:dyDescent="0.25">
      <c r="A61" s="7"/>
      <c r="B61" s="4">
        <v>3.597312092495844E-2</v>
      </c>
      <c r="C61" s="1" t="s">
        <v>15</v>
      </c>
      <c r="D61" s="4">
        <v>7.005054318704227E-4</v>
      </c>
      <c r="E61" s="4">
        <v>3.0456696622885494E-4</v>
      </c>
      <c r="F61" s="4">
        <v>2.4005163791907729E-4</v>
      </c>
      <c r="G61" s="4">
        <v>1.0437006734418145E-4</v>
      </c>
      <c r="H61" s="4">
        <v>2.7634083362476458E-3</v>
      </c>
      <c r="I61" s="4">
        <v>1.2014794677254657E-3</v>
      </c>
      <c r="J61" s="4">
        <v>9.4697438046160076E-4</v>
      </c>
      <c r="K61" s="4">
        <v>4.1172716303360471E-4</v>
      </c>
      <c r="O61" s="23"/>
      <c r="P61" s="23"/>
      <c r="Q61" s="23"/>
      <c r="R61" s="23"/>
      <c r="S61" s="23"/>
      <c r="T61" s="23"/>
      <c r="U61" s="23"/>
      <c r="V61" s="23"/>
      <c r="AC61" s="7"/>
    </row>
    <row r="62" spans="1:29" x14ac:dyDescent="0.25">
      <c r="A62" s="7"/>
      <c r="B62" s="4">
        <v>1.5640455887178592E-2</v>
      </c>
      <c r="C62" s="1" t="s">
        <v>16</v>
      </c>
      <c r="D62" s="4">
        <v>3.0456696622885499E-4</v>
      </c>
      <c r="E62" s="4">
        <v>1.3242015364558536E-4</v>
      </c>
      <c r="F62" s="4">
        <v>1.0437006734418147E-4</v>
      </c>
      <c r="G62" s="4">
        <v>4.5378198840289108E-5</v>
      </c>
      <c r="H62" s="4">
        <v>1.2014794677254659E-3</v>
      </c>
      <c r="I62" s="4">
        <v>5.223813261437969E-4</v>
      </c>
      <c r="J62" s="4">
        <v>4.1172716303360476E-4</v>
      </c>
      <c r="K62" s="4">
        <v>1.7901144981036205E-4</v>
      </c>
      <c r="O62" s="23"/>
      <c r="P62" s="23"/>
      <c r="Q62" s="23"/>
      <c r="R62" s="23"/>
      <c r="S62" s="23"/>
      <c r="T62" s="23"/>
      <c r="U62" s="23"/>
      <c r="V62" s="23"/>
      <c r="AC62" s="7"/>
    </row>
    <row r="63" spans="1:29" x14ac:dyDescent="0.25">
      <c r="A63" s="7"/>
      <c r="B63" s="4">
        <v>0.41411265970360062</v>
      </c>
      <c r="C63" s="1" t="s">
        <v>17</v>
      </c>
      <c r="D63" s="4">
        <v>8.0640255854869305E-3</v>
      </c>
      <c r="E63" s="4">
        <v>3.5060910257408684E-3</v>
      </c>
      <c r="F63" s="4">
        <v>2.7634083362476462E-3</v>
      </c>
      <c r="G63" s="4">
        <v>1.2014794677254661E-3</v>
      </c>
      <c r="H63" s="4">
        <v>3.1811595617678164E-2</v>
      </c>
      <c r="I63" s="4">
        <v>1.383110069868462E-2</v>
      </c>
      <c r="J63" s="4">
        <v>1.0901308234617008E-2</v>
      </c>
      <c r="K63" s="4">
        <v>4.7396896953071643E-3</v>
      </c>
      <c r="O63" s="23"/>
      <c r="P63" s="23"/>
      <c r="Q63" s="23"/>
      <c r="R63" s="23"/>
      <c r="S63" s="23"/>
      <c r="T63" s="23"/>
      <c r="U63" s="23"/>
      <c r="V63" s="23"/>
      <c r="AC63" s="7"/>
    </row>
    <row r="64" spans="1:29" x14ac:dyDescent="0.25">
      <c r="A64" s="7"/>
      <c r="B64" s="4">
        <v>0.18004862018859841</v>
      </c>
      <c r="C64" s="1" t="s">
        <v>18</v>
      </c>
      <c r="D64" s="4">
        <v>3.5060910257408684E-3</v>
      </c>
      <c r="E64" s="4">
        <v>1.5243843351519309E-3</v>
      </c>
      <c r="F64" s="4">
        <v>1.2014794677254661E-3</v>
      </c>
      <c r="G64" s="4">
        <v>5.2238132614379701E-4</v>
      </c>
      <c r="H64" s="4">
        <v>1.383110069868462E-2</v>
      </c>
      <c r="I64" s="4">
        <v>6.0135099426086754E-3</v>
      </c>
      <c r="J64" s="4">
        <v>4.7396896953071635E-3</v>
      </c>
      <c r="K64" s="4">
        <v>2.0607305035614523E-3</v>
      </c>
      <c r="O64" s="23"/>
      <c r="P64" s="23"/>
      <c r="Q64" s="23"/>
      <c r="R64" s="23"/>
      <c r="S64" s="23"/>
      <c r="T64" s="23"/>
      <c r="U64" s="23"/>
      <c r="V64" s="23"/>
      <c r="AC64" s="7"/>
    </row>
    <row r="65" spans="1:29" x14ac:dyDescent="0.25">
      <c r="A65" s="7"/>
      <c r="B65" s="4">
        <v>0.1419095666102744</v>
      </c>
      <c r="C65" s="1" t="s">
        <v>19</v>
      </c>
      <c r="D65" s="4">
        <v>2.7634083362476462E-3</v>
      </c>
      <c r="E65" s="4">
        <v>1.2014794677254659E-3</v>
      </c>
      <c r="F65" s="4">
        <v>9.4697438046160087E-4</v>
      </c>
      <c r="G65" s="4">
        <v>4.1172716303360476E-4</v>
      </c>
      <c r="H65" s="4">
        <v>1.0901308234617008E-2</v>
      </c>
      <c r="I65" s="4">
        <v>4.7396896953071635E-3</v>
      </c>
      <c r="J65" s="4">
        <v>3.7356982232003579E-3</v>
      </c>
      <c r="K65" s="4">
        <v>1.6242133505641654E-3</v>
      </c>
      <c r="O65" s="23"/>
      <c r="P65" s="23"/>
      <c r="Q65" s="23"/>
      <c r="R65" s="23"/>
      <c r="S65" s="23"/>
      <c r="T65" s="23"/>
      <c r="U65" s="23"/>
      <c r="V65" s="23"/>
      <c r="AC65" s="7"/>
    </row>
    <row r="66" spans="1:29" x14ac:dyDescent="0.25">
      <c r="A66" s="7"/>
      <c r="B66" s="4">
        <v>6.1699687418466397E-2</v>
      </c>
      <c r="C66" s="1" t="s">
        <v>20</v>
      </c>
      <c r="D66" s="4">
        <v>1.2014794677254659E-3</v>
      </c>
      <c r="E66" s="4">
        <v>5.2238132614379701E-4</v>
      </c>
      <c r="F66" s="4">
        <v>4.1172716303360476E-4</v>
      </c>
      <c r="G66" s="4">
        <v>1.7901144981036205E-4</v>
      </c>
      <c r="H66" s="4">
        <v>4.7396896953071635E-3</v>
      </c>
      <c r="I66" s="4">
        <v>2.0607305035614523E-3</v>
      </c>
      <c r="J66" s="4">
        <v>1.6242133505641654E-3</v>
      </c>
      <c r="K66" s="4">
        <v>7.0617829667484464E-4</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6.914836894099251E-3</v>
      </c>
      <c r="E68" s="4">
        <v>1.5904156858478156E-2</v>
      </c>
      <c r="F68" s="4">
        <v>2.3696003583293223E-3</v>
      </c>
      <c r="G68" s="4">
        <v>5.4500917907312034E-3</v>
      </c>
      <c r="H68" s="4">
        <v>2.727818664578362E-2</v>
      </c>
      <c r="I68" s="4">
        <v>6.2739955529478864E-2</v>
      </c>
      <c r="J68" s="4">
        <v>9.3477838798456583E-3</v>
      </c>
      <c r="K68" s="4">
        <v>2.1499946185438538E-2</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4.5641114557159308E-2</v>
      </c>
      <c r="C70" s="1" t="s">
        <v>13</v>
      </c>
      <c r="D70" s="4">
        <v>3.156008628276556E-4</v>
      </c>
      <c r="E70" s="4">
        <v>7.2588344511283242E-4</v>
      </c>
      <c r="F70" s="4">
        <v>1.0815120140919435E-4</v>
      </c>
      <c r="G70" s="4">
        <v>2.4874826376779637E-4</v>
      </c>
      <c r="H70" s="4">
        <v>1.2450068416117834E-3</v>
      </c>
      <c r="I70" s="4">
        <v>2.8635214976320254E-3</v>
      </c>
      <c r="J70" s="4">
        <v>4.266432749156028E-4</v>
      </c>
      <c r="K70" s="4">
        <v>9.8128150682236064E-4</v>
      </c>
      <c r="AC70" s="7"/>
    </row>
    <row r="71" spans="1:29" x14ac:dyDescent="0.25">
      <c r="A71" s="7"/>
      <c r="B71" s="4">
        <v>0.10497477470976389</v>
      </c>
      <c r="C71" s="1" t="s">
        <v>14</v>
      </c>
      <c r="D71" s="4">
        <v>7.2588344511283231E-4</v>
      </c>
      <c r="E71" s="4">
        <v>1.6695352831674907E-3</v>
      </c>
      <c r="F71" s="4">
        <v>2.4874826376779642E-4</v>
      </c>
      <c r="G71" s="4">
        <v>5.7212215787954179E-4</v>
      </c>
      <c r="H71" s="4">
        <v>2.8635214976320254E-3</v>
      </c>
      <c r="I71" s="4">
        <v>6.5861126970076494E-3</v>
      </c>
      <c r="J71" s="4">
        <v>9.8128150682236064E-4</v>
      </c>
      <c r="K71" s="4">
        <v>2.2569520070884583E-3</v>
      </c>
      <c r="AC71" s="7"/>
    </row>
    <row r="72" spans="1:29" x14ac:dyDescent="0.25">
      <c r="A72" s="7"/>
      <c r="B72" s="4">
        <v>1.5640455887178592E-2</v>
      </c>
      <c r="C72" s="1" t="s">
        <v>15</v>
      </c>
      <c r="D72" s="4">
        <v>1.0815120140919436E-4</v>
      </c>
      <c r="E72" s="4">
        <v>2.4874826376779647E-4</v>
      </c>
      <c r="F72" s="4">
        <v>3.7061629874692351E-5</v>
      </c>
      <c r="G72" s="4">
        <v>8.5241920234005567E-5</v>
      </c>
      <c r="H72" s="4">
        <v>4.2664327491560286E-4</v>
      </c>
      <c r="I72" s="4">
        <v>9.8128150682236085E-4</v>
      </c>
      <c r="J72" s="4">
        <v>1.4620360141560517E-4</v>
      </c>
      <c r="K72" s="4">
        <v>3.3626895989006508E-4</v>
      </c>
      <c r="AC72" s="7"/>
    </row>
    <row r="73" spans="1:29" x14ac:dyDescent="0.25">
      <c r="A73" s="7"/>
      <c r="B73" s="4">
        <v>3.597312092495844E-2</v>
      </c>
      <c r="C73" s="1" t="s">
        <v>16</v>
      </c>
      <c r="D73" s="4">
        <v>2.4874826376779642E-4</v>
      </c>
      <c r="E73" s="4">
        <v>5.7212215787954179E-4</v>
      </c>
      <c r="F73" s="4">
        <v>8.5241920234005567E-5</v>
      </c>
      <c r="G73" s="4">
        <v>1.9605681104009688E-4</v>
      </c>
      <c r="H73" s="4">
        <v>9.8128150682236064E-4</v>
      </c>
      <c r="I73" s="4">
        <v>2.2569520070884583E-3</v>
      </c>
      <c r="J73" s="4">
        <v>3.3626895989006503E-4</v>
      </c>
      <c r="K73" s="4">
        <v>7.7342016400887953E-4</v>
      </c>
      <c r="AC73" s="7"/>
    </row>
    <row r="74" spans="1:29" x14ac:dyDescent="0.25">
      <c r="A74" s="7"/>
      <c r="B74" s="4">
        <v>0.18004862018859841</v>
      </c>
      <c r="C74" s="1" t="s">
        <v>17</v>
      </c>
      <c r="D74" s="4">
        <v>1.2450068416117834E-3</v>
      </c>
      <c r="E74" s="4">
        <v>2.8635214976320258E-3</v>
      </c>
      <c r="F74" s="4">
        <v>4.2664327491560286E-4</v>
      </c>
      <c r="G74" s="4">
        <v>9.8128150682236064E-4</v>
      </c>
      <c r="H74" s="4">
        <v>4.9113998668203918E-3</v>
      </c>
      <c r="I74" s="4">
        <v>1.1296242423776694E-2</v>
      </c>
      <c r="J74" s="4">
        <v>1.6830555893874337E-3</v>
      </c>
      <c r="K74" s="4">
        <v>3.8710356448173285E-3</v>
      </c>
      <c r="AC74" s="7"/>
    </row>
    <row r="75" spans="1:29" x14ac:dyDescent="0.25">
      <c r="A75" s="7"/>
      <c r="B75" s="4">
        <v>0.41411265970360062</v>
      </c>
      <c r="C75" s="1" t="s">
        <v>18</v>
      </c>
      <c r="D75" s="4">
        <v>2.8635214976320258E-3</v>
      </c>
      <c r="E75" s="4">
        <v>6.5861126970076503E-3</v>
      </c>
      <c r="F75" s="4">
        <v>9.8128150682236064E-4</v>
      </c>
      <c r="G75" s="4">
        <v>2.2569520070884583E-3</v>
      </c>
      <c r="H75" s="4">
        <v>1.1296242423776696E-2</v>
      </c>
      <c r="I75" s="4">
        <v>2.5981409853998116E-2</v>
      </c>
      <c r="J75" s="4">
        <v>3.8710356448173285E-3</v>
      </c>
      <c r="K75" s="4">
        <v>8.9033998983362363E-3</v>
      </c>
      <c r="AC75" s="7"/>
    </row>
    <row r="76" spans="1:29" x14ac:dyDescent="0.25">
      <c r="A76" s="7"/>
      <c r="B76" s="4">
        <v>6.1699687418466397E-2</v>
      </c>
      <c r="C76" s="1" t="s">
        <v>19</v>
      </c>
      <c r="D76" s="4">
        <v>4.266432749156028E-4</v>
      </c>
      <c r="E76" s="4">
        <v>9.8128150682236064E-4</v>
      </c>
      <c r="F76" s="4">
        <v>1.4620360141560514E-4</v>
      </c>
      <c r="G76" s="4">
        <v>3.3626895989006503E-4</v>
      </c>
      <c r="H76" s="4">
        <v>1.6830555893874337E-3</v>
      </c>
      <c r="I76" s="4">
        <v>3.8710356448173281E-3</v>
      </c>
      <c r="J76" s="4">
        <v>5.767553434418562E-4</v>
      </c>
      <c r="K76" s="4">
        <v>1.3265399591554069E-3</v>
      </c>
      <c r="AC76" s="7"/>
    </row>
    <row r="77" spans="1:29" x14ac:dyDescent="0.25">
      <c r="A77" s="7"/>
      <c r="B77" s="4">
        <v>0.1419095666102744</v>
      </c>
      <c r="C77" s="1" t="s">
        <v>20</v>
      </c>
      <c r="D77" s="4">
        <v>9.8128150682236064E-4</v>
      </c>
      <c r="E77" s="4">
        <v>2.2569520070884583E-3</v>
      </c>
      <c r="F77" s="4">
        <v>3.3626895989006503E-4</v>
      </c>
      <c r="G77" s="4">
        <v>7.7342016400887943E-4</v>
      </c>
      <c r="H77" s="4">
        <v>3.8710356448173285E-3</v>
      </c>
      <c r="I77" s="4">
        <v>8.9033998983362346E-3</v>
      </c>
      <c r="J77" s="4">
        <v>1.3265399591554066E-3</v>
      </c>
      <c r="K77" s="4">
        <v>3.0510480453198054E-3</v>
      </c>
      <c r="AC77" s="7"/>
    </row>
    <row r="78" spans="1:29" x14ac:dyDescent="0.25">
      <c r="A78" s="7"/>
      <c r="AC78" s="7"/>
    </row>
    <row r="79" spans="1:29" x14ac:dyDescent="0.25">
      <c r="A79" s="7"/>
      <c r="C79" s="1" t="s">
        <v>31</v>
      </c>
      <c r="D79" s="4">
        <v>5.5569229018514864E-3</v>
      </c>
      <c r="E79" s="4">
        <v>2.416048574049626E-3</v>
      </c>
      <c r="F79" s="4">
        <v>1.6215905506732485E-2</v>
      </c>
      <c r="G79" s="4">
        <v>7.0503795119077175E-3</v>
      </c>
      <c r="H79" s="4">
        <v>2.1921381865461921E-2</v>
      </c>
      <c r="I79" s="4">
        <v>9.5310164155057945E-3</v>
      </c>
      <c r="J79" s="4">
        <v>6.3969765855288449E-2</v>
      </c>
      <c r="K79" s="4">
        <v>2.781288571152624E-2</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3.597312092495844E-2</v>
      </c>
      <c r="C81" s="1" t="s">
        <v>13</v>
      </c>
      <c r="D81" s="4">
        <v>1.9989985951897449E-4</v>
      </c>
      <c r="E81" s="4">
        <v>8.69128075148606E-5</v>
      </c>
      <c r="F81" s="4">
        <v>5.8333672970138715E-4</v>
      </c>
      <c r="G81" s="4">
        <v>2.536241547487058E-4</v>
      </c>
      <c r="H81" s="4">
        <v>7.8858052068845274E-4</v>
      </c>
      <c r="I81" s="4">
        <v>3.4286040605275387E-4</v>
      </c>
      <c r="J81" s="4">
        <v>2.3011921226535688E-3</v>
      </c>
      <c r="K81" s="4">
        <v>1.0005163009727822E-3</v>
      </c>
      <c r="AC81" s="7"/>
    </row>
    <row r="82" spans="1:29" x14ac:dyDescent="0.25">
      <c r="A82" s="7"/>
      <c r="B82" s="4">
        <v>1.5640455887178592E-2</v>
      </c>
      <c r="C82" s="1" t="s">
        <v>14</v>
      </c>
      <c r="D82" s="4">
        <v>8.6912807514860627E-5</v>
      </c>
      <c r="E82" s="4">
        <v>3.7788101143703918E-5</v>
      </c>
      <c r="F82" s="4">
        <v>2.5362415474870586E-4</v>
      </c>
      <c r="G82" s="4">
        <v>1.1027114974386039E-4</v>
      </c>
      <c r="H82" s="4">
        <v>3.4286040605275393E-4</v>
      </c>
      <c r="I82" s="4">
        <v>1.4906944180669341E-4</v>
      </c>
      <c r="J82" s="4">
        <v>1.0005163009727824E-3</v>
      </c>
      <c r="K82" s="4">
        <v>4.350062120662659E-4</v>
      </c>
      <c r="AC82" s="7"/>
    </row>
    <row r="83" spans="1:29" x14ac:dyDescent="0.25">
      <c r="A83" s="7"/>
      <c r="B83" s="4">
        <v>0.10497477470976389</v>
      </c>
      <c r="C83" s="1" t="s">
        <v>15</v>
      </c>
      <c r="D83" s="4">
        <v>5.8333672970138726E-4</v>
      </c>
      <c r="E83" s="4">
        <v>2.536241547487058E-4</v>
      </c>
      <c r="F83" s="4">
        <v>1.7022610272840622E-3</v>
      </c>
      <c r="G83" s="4">
        <v>7.4011200088084771E-4</v>
      </c>
      <c r="H83" s="4">
        <v>2.3011921226535688E-3</v>
      </c>
      <c r="I83" s="4">
        <v>1.0005163009727822E-3</v>
      </c>
      <c r="J83" s="4">
        <v>6.7152117588952518E-3</v>
      </c>
      <c r="K83" s="4">
        <v>2.9196514115958781E-3</v>
      </c>
      <c r="AC83" s="7"/>
    </row>
    <row r="84" spans="1:29" x14ac:dyDescent="0.25">
      <c r="A84" s="7"/>
      <c r="B84" s="4">
        <v>4.5641114557159308E-2</v>
      </c>
      <c r="C84" s="1" t="s">
        <v>16</v>
      </c>
      <c r="D84" s="4">
        <v>2.536241547487058E-4</v>
      </c>
      <c r="E84" s="4">
        <v>1.1027114974386038E-4</v>
      </c>
      <c r="F84" s="4">
        <v>7.4011200088084782E-4</v>
      </c>
      <c r="G84" s="4">
        <v>3.2178717897442905E-4</v>
      </c>
      <c r="H84" s="4">
        <v>1.0005163009727822E-3</v>
      </c>
      <c r="I84" s="4">
        <v>4.3500621206626585E-4</v>
      </c>
      <c r="J84" s="4">
        <v>2.9196514115958781E-3</v>
      </c>
      <c r="K84" s="4">
        <v>1.2694111029249483E-3</v>
      </c>
      <c r="AC84" s="7"/>
    </row>
    <row r="85" spans="1:29" x14ac:dyDescent="0.25">
      <c r="A85" s="7"/>
      <c r="B85" s="4">
        <v>0.1419095666102744</v>
      </c>
      <c r="C85" s="1" t="s">
        <v>17</v>
      </c>
      <c r="D85" s="4">
        <v>7.8858052068845285E-4</v>
      </c>
      <c r="E85" s="4">
        <v>3.4286040605275387E-4</v>
      </c>
      <c r="F85" s="4">
        <v>2.3011921226535692E-3</v>
      </c>
      <c r="G85" s="4">
        <v>1.0005163009727822E-3</v>
      </c>
      <c r="H85" s="4">
        <v>3.1108538000260296E-3</v>
      </c>
      <c r="I85" s="4">
        <v>1.3525424088798384E-3</v>
      </c>
      <c r="J85" s="4">
        <v>9.0779217486847124E-3</v>
      </c>
      <c r="K85" s="4">
        <v>3.946914557503782E-3</v>
      </c>
      <c r="AC85" s="7"/>
    </row>
    <row r="86" spans="1:29" x14ac:dyDescent="0.25">
      <c r="A86" s="7"/>
      <c r="B86" s="4">
        <v>6.1699687418466397E-2</v>
      </c>
      <c r="C86" s="1" t="s">
        <v>18</v>
      </c>
      <c r="D86" s="4">
        <v>3.4286040605275393E-4</v>
      </c>
      <c r="E86" s="4">
        <v>1.4906944180669338E-4</v>
      </c>
      <c r="F86" s="4">
        <v>1.0005163009727822E-3</v>
      </c>
      <c r="G86" s="4">
        <v>4.3500621206626585E-4</v>
      </c>
      <c r="H86" s="4">
        <v>1.3525424088798384E-3</v>
      </c>
      <c r="I86" s="4">
        <v>5.8806073361697961E-4</v>
      </c>
      <c r="J86" s="4">
        <v>3.946914557503782E-3</v>
      </c>
      <c r="K86" s="4">
        <v>1.7160463546066994E-3</v>
      </c>
      <c r="AC86" s="7"/>
    </row>
    <row r="87" spans="1:29" x14ac:dyDescent="0.25">
      <c r="A87" s="7"/>
      <c r="B87" s="4">
        <v>0.41411265970360062</v>
      </c>
      <c r="C87" s="1" t="s">
        <v>19</v>
      </c>
      <c r="D87" s="4">
        <v>2.3011921226535692E-3</v>
      </c>
      <c r="E87" s="4">
        <v>1.0005163009727824E-3</v>
      </c>
      <c r="F87" s="4">
        <v>6.7152117588952526E-3</v>
      </c>
      <c r="G87" s="4">
        <v>2.9196514115958786E-3</v>
      </c>
      <c r="H87" s="4">
        <v>9.0779217486847141E-3</v>
      </c>
      <c r="I87" s="4">
        <v>3.946914557503782E-3</v>
      </c>
      <c r="J87" s="4">
        <v>2.6490689878950077E-2</v>
      </c>
      <c r="K87" s="4">
        <v>1.1517668076032401E-2</v>
      </c>
      <c r="AC87" s="7"/>
    </row>
    <row r="88" spans="1:29" x14ac:dyDescent="0.25">
      <c r="A88" s="7"/>
      <c r="B88" s="4">
        <v>0.18004862018859841</v>
      </c>
      <c r="C88" s="1" t="s">
        <v>20</v>
      </c>
      <c r="D88" s="4">
        <v>1.0005163009727824E-3</v>
      </c>
      <c r="E88" s="4">
        <v>4.350062120662659E-4</v>
      </c>
      <c r="F88" s="4">
        <v>2.9196514115958786E-3</v>
      </c>
      <c r="G88" s="4">
        <v>1.2694111029249485E-3</v>
      </c>
      <c r="H88" s="4">
        <v>3.946914557503782E-3</v>
      </c>
      <c r="I88" s="4">
        <v>1.7160463546066994E-3</v>
      </c>
      <c r="J88" s="4">
        <v>1.1517668076032401E-2</v>
      </c>
      <c r="K88" s="4">
        <v>5.0076716958234839E-3</v>
      </c>
      <c r="AC88" s="7"/>
    </row>
    <row r="89" spans="1:29" x14ac:dyDescent="0.25">
      <c r="A89" s="7"/>
      <c r="AC89" s="7"/>
    </row>
    <row r="90" spans="1:29" x14ac:dyDescent="0.25">
      <c r="A90" s="7"/>
      <c r="C90" s="1" t="s">
        <v>32</v>
      </c>
      <c r="D90" s="4">
        <v>0</v>
      </c>
      <c r="E90" s="4">
        <v>0</v>
      </c>
      <c r="F90" s="4">
        <v>0</v>
      </c>
      <c r="G90" s="4">
        <v>0</v>
      </c>
      <c r="H90" s="4">
        <v>0</v>
      </c>
      <c r="I90" s="4">
        <v>0</v>
      </c>
      <c r="J90" s="4">
        <v>0</v>
      </c>
      <c r="K90" s="4">
        <v>0</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1.5640455887178592E-2</v>
      </c>
      <c r="C92" s="1" t="s">
        <v>13</v>
      </c>
      <c r="D92" s="4">
        <v>0</v>
      </c>
      <c r="E92" s="4">
        <v>0</v>
      </c>
      <c r="F92" s="4">
        <v>0</v>
      </c>
      <c r="G92" s="4">
        <v>0</v>
      </c>
      <c r="H92" s="4">
        <v>0</v>
      </c>
      <c r="I92" s="4">
        <v>0</v>
      </c>
      <c r="J92" s="4">
        <v>0</v>
      </c>
      <c r="K92" s="4">
        <v>0</v>
      </c>
      <c r="AC92" s="7"/>
    </row>
    <row r="93" spans="1:29" x14ac:dyDescent="0.25">
      <c r="A93" s="7"/>
      <c r="B93" s="4">
        <v>3.597312092495844E-2</v>
      </c>
      <c r="C93" s="1" t="s">
        <v>14</v>
      </c>
      <c r="D93" s="4">
        <v>0</v>
      </c>
      <c r="E93" s="4">
        <v>0</v>
      </c>
      <c r="F93" s="4">
        <v>0</v>
      </c>
      <c r="G93" s="4">
        <v>0</v>
      </c>
      <c r="H93" s="4">
        <v>0</v>
      </c>
      <c r="I93" s="4">
        <v>0</v>
      </c>
      <c r="J93" s="4">
        <v>0</v>
      </c>
      <c r="K93" s="4">
        <v>0</v>
      </c>
      <c r="AC93" s="7"/>
    </row>
    <row r="94" spans="1:29" x14ac:dyDescent="0.25">
      <c r="A94" s="7"/>
      <c r="B94" s="4">
        <v>4.5641114557159308E-2</v>
      </c>
      <c r="C94" s="1" t="s">
        <v>15</v>
      </c>
      <c r="D94" s="4">
        <v>0</v>
      </c>
      <c r="E94" s="4">
        <v>0</v>
      </c>
      <c r="F94" s="4">
        <v>0</v>
      </c>
      <c r="G94" s="4">
        <v>0</v>
      </c>
      <c r="H94" s="4">
        <v>0</v>
      </c>
      <c r="I94" s="4">
        <v>0</v>
      </c>
      <c r="J94" s="4">
        <v>0</v>
      </c>
      <c r="K94" s="4">
        <v>0</v>
      </c>
      <c r="AC94" s="7"/>
    </row>
    <row r="95" spans="1:29" x14ac:dyDescent="0.25">
      <c r="A95" s="7"/>
      <c r="B95" s="4">
        <v>0.10497477470976389</v>
      </c>
      <c r="C95" s="1" t="s">
        <v>16</v>
      </c>
      <c r="D95" s="4">
        <v>0</v>
      </c>
      <c r="E95" s="4">
        <v>0</v>
      </c>
      <c r="F95" s="4">
        <v>0</v>
      </c>
      <c r="G95" s="4">
        <v>0</v>
      </c>
      <c r="H95" s="4">
        <v>0</v>
      </c>
      <c r="I95" s="4">
        <v>0</v>
      </c>
      <c r="J95" s="4">
        <v>0</v>
      </c>
      <c r="K95" s="4">
        <v>0</v>
      </c>
      <c r="AC95" s="7"/>
    </row>
    <row r="96" spans="1:29" x14ac:dyDescent="0.25">
      <c r="A96" s="7"/>
      <c r="B96" s="4">
        <v>6.1699687418466397E-2</v>
      </c>
      <c r="C96" s="1" t="s">
        <v>17</v>
      </c>
      <c r="D96" s="4">
        <v>0</v>
      </c>
      <c r="E96" s="4">
        <v>0</v>
      </c>
      <c r="F96" s="4">
        <v>0</v>
      </c>
      <c r="G96" s="4">
        <v>0</v>
      </c>
      <c r="H96" s="4">
        <v>0</v>
      </c>
      <c r="I96" s="4">
        <v>0</v>
      </c>
      <c r="J96" s="4">
        <v>0</v>
      </c>
      <c r="K96" s="4">
        <v>0</v>
      </c>
      <c r="AC96" s="7"/>
    </row>
    <row r="97" spans="1:29" x14ac:dyDescent="0.25">
      <c r="A97" s="7"/>
      <c r="B97" s="4">
        <v>0.1419095666102744</v>
      </c>
      <c r="C97" s="1" t="s">
        <v>18</v>
      </c>
      <c r="D97" s="4">
        <v>0</v>
      </c>
      <c r="E97" s="4">
        <v>0</v>
      </c>
      <c r="F97" s="4">
        <v>0</v>
      </c>
      <c r="G97" s="4">
        <v>0</v>
      </c>
      <c r="H97" s="4">
        <v>0</v>
      </c>
      <c r="I97" s="4">
        <v>0</v>
      </c>
      <c r="J97" s="4">
        <v>0</v>
      </c>
      <c r="K97" s="4">
        <v>0</v>
      </c>
      <c r="AC97" s="7"/>
    </row>
    <row r="98" spans="1:29" x14ac:dyDescent="0.25">
      <c r="A98" s="7"/>
      <c r="B98" s="4">
        <v>0.18004862018859841</v>
      </c>
      <c r="C98" s="1" t="s">
        <v>19</v>
      </c>
      <c r="D98" s="4">
        <v>0</v>
      </c>
      <c r="E98" s="4">
        <v>0</v>
      </c>
      <c r="F98" s="4">
        <v>0</v>
      </c>
      <c r="G98" s="4">
        <v>0</v>
      </c>
      <c r="H98" s="4">
        <v>0</v>
      </c>
      <c r="I98" s="4">
        <v>0</v>
      </c>
      <c r="J98" s="4">
        <v>0</v>
      </c>
      <c r="K98" s="4">
        <v>0</v>
      </c>
      <c r="AC98" s="7"/>
    </row>
    <row r="99" spans="1:29" x14ac:dyDescent="0.25">
      <c r="A99" s="7"/>
      <c r="B99" s="4">
        <v>0.41411265970360062</v>
      </c>
      <c r="C99" s="1" t="s">
        <v>20</v>
      </c>
      <c r="D99" s="4">
        <v>0</v>
      </c>
      <c r="E99" s="4">
        <v>0</v>
      </c>
      <c r="F99" s="4">
        <v>0</v>
      </c>
      <c r="G99" s="4">
        <v>0</v>
      </c>
      <c r="H99" s="4">
        <v>0</v>
      </c>
      <c r="I99" s="4">
        <v>0</v>
      </c>
      <c r="J99" s="4">
        <v>0</v>
      </c>
      <c r="K99" s="4">
        <v>0</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4.4955340352143798E-3</v>
      </c>
      <c r="E103" s="4">
        <v>6.154046926788094E-3</v>
      </c>
      <c r="F103" s="4">
        <v>7.0411044902944806E-3</v>
      </c>
      <c r="G103" s="4">
        <v>1.3799921121803567E-2</v>
      </c>
      <c r="H103" s="4">
        <v>1.0588339693129428E-2</v>
      </c>
      <c r="I103" s="4">
        <v>7.8411467148093387E-3</v>
      </c>
      <c r="J103" s="4">
        <v>6.9232554195368338E-3</v>
      </c>
      <c r="K103" s="4">
        <v>6.4769107800649846E-3</v>
      </c>
      <c r="L103" s="7">
        <v>6.3320259181641109E-2</v>
      </c>
      <c r="AC103" s="7"/>
    </row>
    <row r="104" spans="1:29" x14ac:dyDescent="0.25">
      <c r="A104" s="7"/>
      <c r="C104" s="1" t="s">
        <v>14</v>
      </c>
      <c r="D104" s="4">
        <v>6.1540469267880931E-3</v>
      </c>
      <c r="E104" s="4">
        <v>1.2334469570417407E-2</v>
      </c>
      <c r="F104" s="4">
        <v>1.3799921121803567E-2</v>
      </c>
      <c r="G104" s="4">
        <v>3.0698731588369461E-2</v>
      </c>
      <c r="H104" s="4">
        <v>7.8411467148093387E-3</v>
      </c>
      <c r="I104" s="4">
        <v>1.0855521403881196E-2</v>
      </c>
      <c r="J104" s="4">
        <v>6.4769107800649846E-3</v>
      </c>
      <c r="K104" s="4">
        <v>1.0789711848774433E-2</v>
      </c>
      <c r="L104" s="7">
        <v>9.895045995490849E-2</v>
      </c>
      <c r="T104" s="6"/>
      <c r="AC104" s="7"/>
    </row>
    <row r="105" spans="1:29" x14ac:dyDescent="0.25">
      <c r="A105" s="7"/>
      <c r="C105" s="1" t="s">
        <v>15</v>
      </c>
      <c r="D105" s="4">
        <v>7.0411044902944815E-3</v>
      </c>
      <c r="E105" s="4">
        <v>1.3799921121803569E-2</v>
      </c>
      <c r="F105" s="4">
        <v>1.8464298389854236E-2</v>
      </c>
      <c r="G105" s="4">
        <v>3.8845125699113865E-2</v>
      </c>
      <c r="H105" s="4">
        <v>6.9232554195368338E-3</v>
      </c>
      <c r="I105" s="4">
        <v>6.4769107800649846E-3</v>
      </c>
      <c r="J105" s="4">
        <v>1.198720715291173E-2</v>
      </c>
      <c r="K105" s="4">
        <v>1.3278946922118496E-2</v>
      </c>
      <c r="L105" s="7">
        <v>0.1168167699756982</v>
      </c>
      <c r="AC105" s="7"/>
    </row>
    <row r="106" spans="1:29" x14ac:dyDescent="0.25">
      <c r="A106" s="7"/>
      <c r="C106" s="1" t="s">
        <v>16</v>
      </c>
      <c r="D106" s="4">
        <v>1.3799921121803567E-2</v>
      </c>
      <c r="E106" s="4">
        <v>3.0698731588369464E-2</v>
      </c>
      <c r="F106" s="4">
        <v>3.8845125699113865E-2</v>
      </c>
      <c r="G106" s="4">
        <v>8.7768821596852953E-2</v>
      </c>
      <c r="H106" s="4">
        <v>6.4769107800649846E-3</v>
      </c>
      <c r="I106" s="4">
        <v>1.0789711848774433E-2</v>
      </c>
      <c r="J106" s="4">
        <v>1.3278946922118498E-2</v>
      </c>
      <c r="K106" s="4">
        <v>2.4327875789572108E-2</v>
      </c>
      <c r="L106" s="7">
        <v>0.22598604534666986</v>
      </c>
      <c r="AC106" s="7"/>
    </row>
    <row r="107" spans="1:29" x14ac:dyDescent="0.25">
      <c r="A107" s="7"/>
      <c r="C107" s="1" t="s">
        <v>17</v>
      </c>
      <c r="D107" s="4">
        <v>1.0588339693129429E-2</v>
      </c>
      <c r="E107" s="4">
        <v>7.8411467148093404E-3</v>
      </c>
      <c r="F107" s="4">
        <v>6.9232554195368346E-3</v>
      </c>
      <c r="G107" s="4">
        <v>6.4769107800649846E-3</v>
      </c>
      <c r="H107" s="4">
        <v>3.9958245214784791E-2</v>
      </c>
      <c r="I107" s="4">
        <v>2.6765996746647328E-2</v>
      </c>
      <c r="J107" s="4">
        <v>2.2025290906063415E-2</v>
      </c>
      <c r="K107" s="4">
        <v>1.3392553844387459E-2</v>
      </c>
      <c r="L107" s="7">
        <v>0.13397173931942358</v>
      </c>
      <c r="AC107" s="7"/>
    </row>
    <row r="108" spans="1:29" x14ac:dyDescent="0.25">
      <c r="A108" s="7"/>
      <c r="C108" s="1" t="s">
        <v>18</v>
      </c>
      <c r="D108" s="4">
        <v>7.8411467148093404E-3</v>
      </c>
      <c r="E108" s="4">
        <v>1.0855521403881199E-2</v>
      </c>
      <c r="F108" s="4">
        <v>6.4769107800649846E-3</v>
      </c>
      <c r="G108" s="4">
        <v>1.0789711848774433E-2</v>
      </c>
      <c r="H108" s="4">
        <v>2.6765996746647328E-2</v>
      </c>
      <c r="I108" s="4">
        <v>3.3241037649558318E-2</v>
      </c>
      <c r="J108" s="4">
        <v>1.3392553844387457E-2</v>
      </c>
      <c r="K108" s="4">
        <v>1.4600482698054562E-2</v>
      </c>
      <c r="L108" s="7">
        <v>0.12396336168617761</v>
      </c>
      <c r="AC108" s="7"/>
    </row>
    <row r="109" spans="1:29" x14ac:dyDescent="0.25">
      <c r="A109" s="7"/>
      <c r="C109" s="1" t="s">
        <v>19</v>
      </c>
      <c r="D109" s="4">
        <v>6.9232554195368338E-3</v>
      </c>
      <c r="E109" s="4">
        <v>6.4769107800649846E-3</v>
      </c>
      <c r="F109" s="4">
        <v>1.1987207152911732E-2</v>
      </c>
      <c r="G109" s="4">
        <v>1.3278946922118496E-2</v>
      </c>
      <c r="H109" s="4">
        <v>2.2025290906063418E-2</v>
      </c>
      <c r="I109" s="4">
        <v>1.3392553844387457E-2</v>
      </c>
      <c r="J109" s="4">
        <v>3.1862445560882691E-2</v>
      </c>
      <c r="K109" s="4">
        <v>1.6904821153398388E-2</v>
      </c>
      <c r="L109" s="7">
        <v>0.122851431739364</v>
      </c>
      <c r="AC109" s="7"/>
    </row>
    <row r="110" spans="1:29" x14ac:dyDescent="0.25">
      <c r="A110" s="7"/>
      <c r="C110" s="1" t="s">
        <v>20</v>
      </c>
      <c r="D110" s="4">
        <v>6.4769107800649837E-3</v>
      </c>
      <c r="E110" s="4">
        <v>1.0789711848774433E-2</v>
      </c>
      <c r="F110" s="4">
        <v>1.3278946922118496E-2</v>
      </c>
      <c r="G110" s="4">
        <v>2.4327875789572101E-2</v>
      </c>
      <c r="H110" s="4">
        <v>1.3392553844387457E-2</v>
      </c>
      <c r="I110" s="4">
        <v>1.4600482698054558E-2</v>
      </c>
      <c r="J110" s="4">
        <v>1.6904821153398388E-2</v>
      </c>
      <c r="K110" s="4">
        <v>1.4368628779128102E-2</v>
      </c>
      <c r="L110" s="7">
        <v>0.11413993181549852</v>
      </c>
      <c r="AC110" s="7"/>
    </row>
    <row r="111" spans="1:29" x14ac:dyDescent="0.25">
      <c r="A111" s="7"/>
      <c r="D111" s="3">
        <v>6.3320259181641109E-2</v>
      </c>
      <c r="E111" s="3">
        <v>9.8950459954908504E-2</v>
      </c>
      <c r="F111" s="3">
        <v>0.11681676997569822</v>
      </c>
      <c r="G111" s="3">
        <v>0.22598604534666986</v>
      </c>
      <c r="H111" s="3">
        <v>0.13397173931942358</v>
      </c>
      <c r="I111" s="3">
        <v>0.12396336168617761</v>
      </c>
      <c r="J111" s="3">
        <v>0.122851431739364</v>
      </c>
      <c r="K111" s="3">
        <v>0.11413993181549853</v>
      </c>
      <c r="L111" s="7">
        <v>0.9999999990193813</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0.49492646456046374</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0.57979417887723061</v>
      </c>
      <c r="R114" t="s">
        <v>58</v>
      </c>
      <c r="W114" s="1" t="s">
        <v>45</v>
      </c>
      <c r="X114" s="7" t="s">
        <v>47</v>
      </c>
      <c r="Y114" s="7" t="s">
        <v>48</v>
      </c>
      <c r="Z114" s="7" t="s">
        <v>49</v>
      </c>
      <c r="AA114" s="7" t="s">
        <v>50</v>
      </c>
      <c r="AB114" s="7"/>
      <c r="AC114" s="7"/>
    </row>
    <row r="115" spans="1:29" x14ac:dyDescent="0.25">
      <c r="A115" s="7"/>
      <c r="C115" s="1" t="s">
        <v>13</v>
      </c>
      <c r="D115" s="5">
        <v>0.44955340352143797</v>
      </c>
      <c r="E115" s="5">
        <v>0.61540469267880937</v>
      </c>
      <c r="F115" s="5">
        <v>0.70411044902944808</v>
      </c>
      <c r="G115" s="5">
        <v>1.3799921121803567</v>
      </c>
      <c r="H115" s="5">
        <v>1.0588339693129427</v>
      </c>
      <c r="I115" s="5">
        <v>0.78411467148093383</v>
      </c>
      <c r="J115" s="5">
        <v>0.69232554195368334</v>
      </c>
      <c r="K115" s="5">
        <v>0.6476910780064985</v>
      </c>
      <c r="L115" s="13">
        <v>6.3320259181641099</v>
      </c>
      <c r="N115" t="s">
        <v>38</v>
      </c>
      <c r="O115" s="8">
        <v>0.56303979880325461</v>
      </c>
      <c r="W115" s="1" t="s">
        <v>13</v>
      </c>
      <c r="X115" s="5">
        <v>6.3320259181641099</v>
      </c>
      <c r="Y115" s="5">
        <v>0.44955340352143797</v>
      </c>
      <c r="Z115" s="5">
        <v>5.8824725146426715</v>
      </c>
      <c r="AA115" s="8">
        <v>0.44955340352143797</v>
      </c>
      <c r="AB115" s="8">
        <v>4.0524690590397423</v>
      </c>
      <c r="AC115" s="7"/>
    </row>
    <row r="116" spans="1:29" x14ac:dyDescent="0.25">
      <c r="A116" s="7"/>
      <c r="C116" s="1" t="s">
        <v>14</v>
      </c>
      <c r="D116" s="5">
        <v>0.61540469267880926</v>
      </c>
      <c r="E116" s="5">
        <v>1.2334469570417406</v>
      </c>
      <c r="F116" s="5">
        <v>1.3799921121803567</v>
      </c>
      <c r="G116" s="5">
        <v>3.0698731588369461</v>
      </c>
      <c r="H116" s="5">
        <v>0.78411467148093383</v>
      </c>
      <c r="I116" s="5">
        <v>1.0855521403881196</v>
      </c>
      <c r="J116" s="5">
        <v>0.6476910780064985</v>
      </c>
      <c r="K116" s="5">
        <v>1.0789711848774433</v>
      </c>
      <c r="L116" s="13">
        <v>9.8950459954908467</v>
      </c>
      <c r="M116" s="10" t="s">
        <v>39</v>
      </c>
      <c r="N116" s="10">
        <v>1</v>
      </c>
      <c r="O116" s="10">
        <v>2</v>
      </c>
      <c r="P116" s="10" t="s">
        <v>39</v>
      </c>
      <c r="Q116" s="10">
        <v>1</v>
      </c>
      <c r="R116" s="10">
        <v>2</v>
      </c>
      <c r="S116" s="10" t="s">
        <v>11</v>
      </c>
      <c r="T116" s="10" t="s">
        <v>42</v>
      </c>
      <c r="U116" s="10" t="s">
        <v>43</v>
      </c>
      <c r="V116" s="10"/>
      <c r="W116" s="1" t="s">
        <v>14</v>
      </c>
      <c r="X116" s="5">
        <v>9.8950459954908467</v>
      </c>
      <c r="Y116" s="5">
        <v>1.2334469570417406</v>
      </c>
      <c r="Z116" s="5">
        <v>8.6615990384491059</v>
      </c>
      <c r="AA116" s="8">
        <v>1.2334469570417406</v>
      </c>
      <c r="AB116" s="8">
        <v>6.7770511617303812</v>
      </c>
      <c r="AC116" s="7"/>
    </row>
    <row r="117" spans="1:29" x14ac:dyDescent="0.25">
      <c r="A117" s="7"/>
      <c r="C117" s="1" t="s">
        <v>15</v>
      </c>
      <c r="D117" s="5">
        <v>0.70411044902944819</v>
      </c>
      <c r="E117" s="5">
        <v>1.3799921121803569</v>
      </c>
      <c r="F117" s="5">
        <v>1.8464298389854237</v>
      </c>
      <c r="G117" s="5">
        <v>3.8845125699113865</v>
      </c>
      <c r="H117" s="5">
        <v>0.69232554195368334</v>
      </c>
      <c r="I117" s="5">
        <v>0.6476910780064985</v>
      </c>
      <c r="J117" s="5">
        <v>1.198720715291173</v>
      </c>
      <c r="K117" s="5">
        <v>1.3278946922118495</v>
      </c>
      <c r="L117" s="13">
        <v>11.68167699756982</v>
      </c>
      <c r="M117" s="10">
        <v>1</v>
      </c>
      <c r="N117" s="5">
        <v>34.3740825488685</v>
      </c>
      <c r="O117" s="5">
        <v>16.133270897023259</v>
      </c>
      <c r="P117" s="10">
        <v>1</v>
      </c>
      <c r="Q117">
        <v>25.101374687195634</v>
      </c>
      <c r="R117">
        <v>22.063316813875996</v>
      </c>
      <c r="S117" s="12">
        <v>71.322746557669063</v>
      </c>
      <c r="T117">
        <v>1</v>
      </c>
      <c r="U117">
        <v>0</v>
      </c>
      <c r="W117" s="1" t="s">
        <v>15</v>
      </c>
      <c r="X117" s="5">
        <v>11.68167699756982</v>
      </c>
      <c r="Y117" s="5">
        <v>1.8464298389854237</v>
      </c>
      <c r="Z117" s="5">
        <v>9.8352471585843961</v>
      </c>
      <c r="AA117" s="8">
        <v>0.3880155406926058</v>
      </c>
      <c r="AB117" s="8">
        <v>9.8352471585843961</v>
      </c>
      <c r="AC117" s="7"/>
    </row>
    <row r="118" spans="1:29" x14ac:dyDescent="0.25">
      <c r="A118" s="7"/>
      <c r="C118" s="1" t="s">
        <v>16</v>
      </c>
      <c r="D118" s="5">
        <v>1.3799921121803567</v>
      </c>
      <c r="E118" s="5">
        <v>3.0698731588369466</v>
      </c>
      <c r="F118" s="5">
        <v>3.8845125699113865</v>
      </c>
      <c r="G118" s="5">
        <v>8.7768821596852948</v>
      </c>
      <c r="H118" s="5">
        <v>0.6476910780064985</v>
      </c>
      <c r="I118" s="5">
        <v>1.0789711848774433</v>
      </c>
      <c r="J118" s="5">
        <v>1.3278946922118497</v>
      </c>
      <c r="K118" s="5">
        <v>2.4327875789572109</v>
      </c>
      <c r="L118" s="13">
        <v>22.598604534666986</v>
      </c>
      <c r="M118" s="10">
        <v>2</v>
      </c>
      <c r="N118" s="5">
        <v>16.133270897023262</v>
      </c>
      <c r="O118" s="5">
        <v>33.359375559023114</v>
      </c>
      <c r="P118" s="10">
        <v>2</v>
      </c>
      <c r="Q118">
        <v>22.063316813875982</v>
      </c>
      <c r="R118">
        <v>2.0947382427214509</v>
      </c>
      <c r="W118" s="1" t="s">
        <v>16</v>
      </c>
      <c r="X118" s="5">
        <v>22.598604534666986</v>
      </c>
      <c r="Y118" s="5">
        <v>8.7768821596852948</v>
      </c>
      <c r="Z118" s="5">
        <v>13.821722374981691</v>
      </c>
      <c r="AA118" s="8">
        <v>2.599852971973573</v>
      </c>
      <c r="AB118" s="8">
        <v>26.610745222898831</v>
      </c>
      <c r="AC118" s="7"/>
    </row>
    <row r="119" spans="1:29" x14ac:dyDescent="0.25">
      <c r="A119" s="7"/>
      <c r="C119" s="1" t="s">
        <v>17</v>
      </c>
      <c r="D119" s="5">
        <v>1.0588339693129429</v>
      </c>
      <c r="E119" s="5">
        <v>0.78411467148093406</v>
      </c>
      <c r="F119" s="5">
        <v>0.69232554195368345</v>
      </c>
      <c r="G119" s="5">
        <v>0.6476910780064985</v>
      </c>
      <c r="H119" s="5">
        <v>3.9958245214784789</v>
      </c>
      <c r="I119" s="5">
        <v>2.6765996746647329</v>
      </c>
      <c r="J119" s="5">
        <v>2.2025290906063413</v>
      </c>
      <c r="K119" s="5">
        <v>1.3392553844387458</v>
      </c>
      <c r="L119" s="13">
        <v>13.397173931942357</v>
      </c>
      <c r="M119" s="10" t="s">
        <v>40</v>
      </c>
      <c r="N119" s="10">
        <v>1</v>
      </c>
      <c r="O119" s="10">
        <v>2</v>
      </c>
      <c r="P119" s="10" t="s">
        <v>40</v>
      </c>
      <c r="Q119" s="10">
        <v>1</v>
      </c>
      <c r="R119" s="10">
        <v>2</v>
      </c>
      <c r="S119" s="10" t="s">
        <v>11</v>
      </c>
      <c r="T119" s="10" t="s">
        <v>42</v>
      </c>
      <c r="U119" s="10" t="s">
        <v>43</v>
      </c>
      <c r="W119" s="1" t="s">
        <v>17</v>
      </c>
      <c r="X119" s="5">
        <v>13.397173931942357</v>
      </c>
      <c r="Y119" s="5">
        <v>3.9958245214784789</v>
      </c>
      <c r="Z119" s="5">
        <v>9.4013494104638777</v>
      </c>
      <c r="AA119" s="8">
        <v>4.363209843167296E-6</v>
      </c>
      <c r="AB119" s="8">
        <v>3.3340839761604566</v>
      </c>
      <c r="AC119" s="7"/>
    </row>
    <row r="120" spans="1:29" x14ac:dyDescent="0.25">
      <c r="A120" s="7"/>
      <c r="C120" s="1" t="s">
        <v>18</v>
      </c>
      <c r="D120" s="5">
        <v>0.78411467148093406</v>
      </c>
      <c r="E120" s="5">
        <v>1.0855521403881199</v>
      </c>
      <c r="F120" s="5">
        <v>0.6476910780064985</v>
      </c>
      <c r="G120" s="5">
        <v>1.0789711848774433</v>
      </c>
      <c r="H120" s="5">
        <v>2.6765996746647329</v>
      </c>
      <c r="I120" s="5">
        <v>3.3241037649558316</v>
      </c>
      <c r="J120" s="5">
        <v>1.3392553844387458</v>
      </c>
      <c r="K120" s="5">
        <v>1.4600482698054562</v>
      </c>
      <c r="L120" s="13">
        <v>12.396336168617761</v>
      </c>
      <c r="M120" s="10">
        <v>1</v>
      </c>
      <c r="N120" s="5">
        <v>23.012168287010436</v>
      </c>
      <c r="O120" s="5">
        <v>19.008413727204648</v>
      </c>
      <c r="P120" s="10">
        <v>1</v>
      </c>
      <c r="Q120">
        <v>5.2697272533805437</v>
      </c>
      <c r="R120">
        <v>4.2533072386472783</v>
      </c>
      <c r="S120" s="12">
        <v>15.023291868418703</v>
      </c>
      <c r="T120">
        <v>0.99989380758262936</v>
      </c>
      <c r="U120">
        <v>1.06192417370643E-4</v>
      </c>
      <c r="W120" s="1" t="s">
        <v>18</v>
      </c>
      <c r="X120" s="5">
        <v>12.396336168617761</v>
      </c>
      <c r="Y120" s="5">
        <v>3.3241037649558316</v>
      </c>
      <c r="Z120" s="5">
        <v>9.0722324036619302</v>
      </c>
      <c r="AA120" s="8">
        <v>0.1374312454872936</v>
      </c>
      <c r="AB120" s="8">
        <v>3.8731843622097122</v>
      </c>
      <c r="AC120" s="7"/>
    </row>
    <row r="121" spans="1:29" x14ac:dyDescent="0.25">
      <c r="A121" s="7"/>
      <c r="C121" s="1" t="s">
        <v>19</v>
      </c>
      <c r="D121" s="5">
        <v>0.69232554195368334</v>
      </c>
      <c r="E121" s="5">
        <v>0.6476910780064985</v>
      </c>
      <c r="F121" s="5">
        <v>1.1987207152911732</v>
      </c>
      <c r="G121" s="5">
        <v>1.3278946922118495</v>
      </c>
      <c r="H121" s="5">
        <v>2.2025290906063417</v>
      </c>
      <c r="I121" s="5">
        <v>1.3392553844387458</v>
      </c>
      <c r="J121" s="5">
        <v>3.1862445560882691</v>
      </c>
      <c r="K121" s="5">
        <v>1.6904821153398388</v>
      </c>
      <c r="L121" s="13">
        <v>12.285143173936399</v>
      </c>
      <c r="M121" s="10">
        <v>2</v>
      </c>
      <c r="N121" s="5">
        <v>19.008413727204648</v>
      </c>
      <c r="O121" s="5">
        <v>38.971004160518412</v>
      </c>
      <c r="P121" s="10">
        <v>2</v>
      </c>
      <c r="Q121">
        <v>4.2533072386472783</v>
      </c>
      <c r="R121">
        <v>1.2469501377436041</v>
      </c>
      <c r="W121" s="1" t="s">
        <v>19</v>
      </c>
      <c r="X121" s="5">
        <v>12.285143173936399</v>
      </c>
      <c r="Y121" s="5">
        <v>3.1862445560882691</v>
      </c>
      <c r="Z121" s="5">
        <v>9.0988986178481301</v>
      </c>
      <c r="AA121" s="8">
        <v>0.20783022484280184</v>
      </c>
      <c r="AB121" s="8">
        <v>3.8271662302211995</v>
      </c>
      <c r="AC121" s="7"/>
    </row>
    <row r="122" spans="1:29" x14ac:dyDescent="0.25">
      <c r="A122" s="7"/>
      <c r="C122" s="1" t="s">
        <v>20</v>
      </c>
      <c r="D122" s="5">
        <v>0.64769107800649839</v>
      </c>
      <c r="E122" s="5">
        <v>1.0789711848774433</v>
      </c>
      <c r="F122" s="5">
        <v>1.3278946922118495</v>
      </c>
      <c r="G122" s="5">
        <v>2.43278757895721</v>
      </c>
      <c r="H122" s="5">
        <v>1.3392553844387458</v>
      </c>
      <c r="I122" s="5">
        <v>1.4600482698054558</v>
      </c>
      <c r="J122" s="5">
        <v>1.6904821153398388</v>
      </c>
      <c r="K122" s="5">
        <v>1.4368628779128101</v>
      </c>
      <c r="L122" s="13">
        <v>11.413993181549852</v>
      </c>
      <c r="M122" s="10" t="s">
        <v>41</v>
      </c>
      <c r="N122" s="10">
        <v>1</v>
      </c>
      <c r="O122" s="10">
        <v>2</v>
      </c>
      <c r="P122" s="10" t="s">
        <v>41</v>
      </c>
      <c r="Q122" s="10">
        <v>1</v>
      </c>
      <c r="R122" s="10">
        <v>2</v>
      </c>
      <c r="S122" s="10" t="s">
        <v>11</v>
      </c>
      <c r="T122" s="10" t="s">
        <v>42</v>
      </c>
      <c r="U122" s="10" t="s">
        <v>43</v>
      </c>
      <c r="W122" s="1" t="s">
        <v>20</v>
      </c>
      <c r="X122" s="5">
        <v>11.413993181549852</v>
      </c>
      <c r="Y122" s="5">
        <v>1.4368628779128101</v>
      </c>
      <c r="Z122" s="5">
        <v>9.9771303036370416</v>
      </c>
      <c r="AA122" s="8">
        <v>0.13282351227243808</v>
      </c>
      <c r="AB122" s="8">
        <v>6.3780471883791243</v>
      </c>
      <c r="AC122" s="7"/>
    </row>
    <row r="123" spans="1:29" x14ac:dyDescent="0.25">
      <c r="A123" s="7"/>
      <c r="D123" s="13">
        <v>6.3320259181641099</v>
      </c>
      <c r="E123" s="13">
        <v>9.8950459954908503</v>
      </c>
      <c r="F123" s="13">
        <v>11.68167699756982</v>
      </c>
      <c r="G123" s="13">
        <v>22.598604534666983</v>
      </c>
      <c r="H123" s="13">
        <v>13.397173931942357</v>
      </c>
      <c r="I123" s="13">
        <v>12.396336168617761</v>
      </c>
      <c r="J123" s="13">
        <v>12.285143173936399</v>
      </c>
      <c r="K123" s="13">
        <v>11.413993181549854</v>
      </c>
      <c r="L123" s="1">
        <v>99.999999901938139</v>
      </c>
      <c r="M123" s="10">
        <v>1</v>
      </c>
      <c r="N123" s="5">
        <v>22.575742936368151</v>
      </c>
      <c r="O123" s="5">
        <v>21.120277085244538</v>
      </c>
      <c r="P123" s="10">
        <v>1</v>
      </c>
      <c r="Q123">
        <v>4.0616538309217587</v>
      </c>
      <c r="R123">
        <v>1.6368696970577734</v>
      </c>
      <c r="S123" s="12">
        <v>7.470926370170365</v>
      </c>
      <c r="T123">
        <v>0.9937296720917137</v>
      </c>
      <c r="U123">
        <v>6.2703279082862995E-3</v>
      </c>
      <c r="W123" s="1" t="s">
        <v>59</v>
      </c>
      <c r="X123" s="7">
        <v>99.999999901938139</v>
      </c>
      <c r="Y123" s="7">
        <v>24.249348079669286</v>
      </c>
      <c r="Z123" s="7">
        <v>75.75065182226885</v>
      </c>
      <c r="AA123" s="7">
        <v>5.1489582190417345</v>
      </c>
      <c r="AB123" s="7">
        <v>64.68799435922385</v>
      </c>
      <c r="AC123" s="11">
        <v>69.836952578265581</v>
      </c>
    </row>
    <row r="124" spans="1:29" x14ac:dyDescent="0.25">
      <c r="A124" s="7"/>
      <c r="M124" s="10">
        <v>2</v>
      </c>
      <c r="N124" s="5">
        <v>21.120277085244538</v>
      </c>
      <c r="O124" s="5">
        <v>35.183702795080904</v>
      </c>
      <c r="P124" s="10">
        <v>2</v>
      </c>
      <c r="Q124">
        <v>1.6368696970577734</v>
      </c>
      <c r="R124">
        <v>0.13553314513306017</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0</v>
      </c>
      <c r="E127" s="8">
        <v>0</v>
      </c>
      <c r="F127" s="8">
        <v>0</v>
      </c>
      <c r="G127" s="8">
        <v>0</v>
      </c>
      <c r="H127" s="8">
        <v>0</v>
      </c>
      <c r="I127" s="8">
        <v>0</v>
      </c>
      <c r="J127" s="8">
        <v>0</v>
      </c>
      <c r="K127" s="8">
        <v>0.43434142777389217</v>
      </c>
      <c r="L127" s="14">
        <v>0.43434142777389217</v>
      </c>
      <c r="AC127" s="7"/>
    </row>
    <row r="128" spans="1:29" x14ac:dyDescent="0.25">
      <c r="A128" s="7"/>
      <c r="C128" s="1" t="s">
        <v>14</v>
      </c>
      <c r="D128" s="8">
        <v>0</v>
      </c>
      <c r="E128" s="8">
        <v>0</v>
      </c>
      <c r="F128" s="8">
        <v>0</v>
      </c>
      <c r="G128" s="8">
        <v>0</v>
      </c>
      <c r="H128" s="8">
        <v>0</v>
      </c>
      <c r="I128" s="8">
        <v>0</v>
      </c>
      <c r="J128" s="8">
        <v>0</v>
      </c>
      <c r="K128" s="8">
        <v>-7.6007980523149388E-2</v>
      </c>
      <c r="L128" s="14">
        <v>-7.6007980523149388E-2</v>
      </c>
      <c r="AC128" s="7"/>
    </row>
    <row r="129" spans="1:29" x14ac:dyDescent="0.25">
      <c r="A129" s="7"/>
      <c r="C129" s="1" t="s">
        <v>15</v>
      </c>
      <c r="D129" s="8">
        <v>0</v>
      </c>
      <c r="E129" s="8">
        <v>0</v>
      </c>
      <c r="F129" s="8">
        <v>-0.61325395783008241</v>
      </c>
      <c r="G129" s="8">
        <v>0</v>
      </c>
      <c r="H129" s="8">
        <v>0</v>
      </c>
      <c r="I129" s="8">
        <v>0</v>
      </c>
      <c r="J129" s="8">
        <v>0</v>
      </c>
      <c r="K129" s="8">
        <v>0</v>
      </c>
      <c r="L129" s="14">
        <v>-0.61325395783008241</v>
      </c>
      <c r="AC129" s="7"/>
    </row>
    <row r="130" spans="1:29" x14ac:dyDescent="0.25">
      <c r="A130" s="7"/>
      <c r="C130" s="1" t="s">
        <v>16</v>
      </c>
      <c r="D130" s="8">
        <v>0</v>
      </c>
      <c r="E130" s="8">
        <v>0</v>
      </c>
      <c r="F130" s="8">
        <v>0</v>
      </c>
      <c r="G130" s="8">
        <v>-3.1433075054573285</v>
      </c>
      <c r="H130" s="8">
        <v>31.154603706294893</v>
      </c>
      <c r="I130" s="8">
        <v>25.540760215027433</v>
      </c>
      <c r="J130" s="8">
        <v>23.257305752137921</v>
      </c>
      <c r="K130" s="8">
        <v>0</v>
      </c>
      <c r="L130" s="14">
        <v>76.80936216800292</v>
      </c>
      <c r="AC130" s="7"/>
    </row>
    <row r="131" spans="1:29" x14ac:dyDescent="0.25">
      <c r="A131" s="7"/>
      <c r="C131" s="1" t="s">
        <v>17</v>
      </c>
      <c r="D131" s="8">
        <v>0</v>
      </c>
      <c r="E131" s="8">
        <v>0</v>
      </c>
      <c r="F131" s="8">
        <v>0</v>
      </c>
      <c r="G131" s="8">
        <v>31.154603706294893</v>
      </c>
      <c r="H131" s="8">
        <v>4.1776593669425773E-3</v>
      </c>
      <c r="I131" s="8">
        <v>-0.58280006054445066</v>
      </c>
      <c r="J131" s="8">
        <v>-0.19291821234965195</v>
      </c>
      <c r="K131" s="8">
        <v>0</v>
      </c>
      <c r="L131" s="14">
        <v>30.383063092767731</v>
      </c>
      <c r="AC131" s="7"/>
    </row>
    <row r="132" spans="1:29" x14ac:dyDescent="0.25">
      <c r="A132" s="7"/>
      <c r="C132" s="1" t="s">
        <v>18</v>
      </c>
      <c r="D132" s="8">
        <v>0</v>
      </c>
      <c r="E132" s="8">
        <v>0</v>
      </c>
      <c r="F132" s="8">
        <v>0</v>
      </c>
      <c r="G132" s="8">
        <v>25.540760215027433</v>
      </c>
      <c r="H132" s="8">
        <v>-0.58280006054445066</v>
      </c>
      <c r="I132" s="8">
        <v>0.74037707087949245</v>
      </c>
      <c r="J132" s="8">
        <v>0.80206680860190327</v>
      </c>
      <c r="K132" s="8">
        <v>0</v>
      </c>
      <c r="L132" s="14">
        <v>26.500404033964379</v>
      </c>
      <c r="AC132" s="7"/>
    </row>
    <row r="133" spans="1:29" x14ac:dyDescent="0.25">
      <c r="A133" s="7"/>
      <c r="C133" s="1" t="s">
        <v>19</v>
      </c>
      <c r="D133" s="8">
        <v>0</v>
      </c>
      <c r="E133" s="8">
        <v>0</v>
      </c>
      <c r="F133" s="8">
        <v>0</v>
      </c>
      <c r="G133" s="8">
        <v>23.257305752137924</v>
      </c>
      <c r="H133" s="8">
        <v>-0.19291821234965245</v>
      </c>
      <c r="I133" s="8">
        <v>0.80206680860190327</v>
      </c>
      <c r="J133" s="8">
        <v>0.90980557190825384</v>
      </c>
      <c r="K133" s="8">
        <v>0</v>
      </c>
      <c r="L133" s="14">
        <v>24.776259920298429</v>
      </c>
      <c r="AC133" s="7"/>
    </row>
    <row r="134" spans="1:29" x14ac:dyDescent="0.25">
      <c r="A134" s="7"/>
      <c r="C134" s="1" t="s">
        <v>20</v>
      </c>
      <c r="D134" s="8">
        <v>0.43434142777389234</v>
      </c>
      <c r="E134" s="8">
        <v>-7.6007980523149388E-2</v>
      </c>
      <c r="F134" s="8">
        <v>0</v>
      </c>
      <c r="G134" s="8">
        <v>0</v>
      </c>
      <c r="H134" s="8">
        <v>0</v>
      </c>
      <c r="I134" s="8">
        <v>0</v>
      </c>
      <c r="J134" s="8">
        <v>0</v>
      </c>
      <c r="K134" s="8">
        <v>-0.36246218007540554</v>
      </c>
      <c r="L134" s="14">
        <v>-4.1287328246625843E-3</v>
      </c>
      <c r="AC134" s="7"/>
    </row>
    <row r="135" spans="1:29" x14ac:dyDescent="0.25">
      <c r="A135" s="7"/>
      <c r="D135" s="14">
        <v>0.43434142777389234</v>
      </c>
      <c r="E135" s="14">
        <v>-7.6007980523149388E-2</v>
      </c>
      <c r="F135" s="14">
        <v>-0.61325395783008241</v>
      </c>
      <c r="G135" s="14">
        <v>76.80936216800292</v>
      </c>
      <c r="H135" s="14">
        <v>30.383063092767731</v>
      </c>
      <c r="I135" s="14">
        <v>26.500404033964379</v>
      </c>
      <c r="J135" s="14">
        <v>24.776259920298425</v>
      </c>
      <c r="K135" s="14">
        <v>-4.1287328246627508E-3</v>
      </c>
      <c r="L135" s="2">
        <v>316.42007994325894</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0.44955340352143797</v>
      </c>
      <c r="E140" s="8">
        <v>0.61540469267880937</v>
      </c>
      <c r="F140" s="8">
        <v>0.70411044902944808</v>
      </c>
      <c r="G140" s="8">
        <v>1.3799921121803567</v>
      </c>
      <c r="H140" s="8">
        <v>1.0588339693129427</v>
      </c>
      <c r="I140" s="8">
        <v>0.78411467148093383</v>
      </c>
      <c r="J140" s="8">
        <v>0.69232554195368334</v>
      </c>
      <c r="K140" s="8">
        <v>0.1916370021619748</v>
      </c>
      <c r="L140" s="15">
        <v>5.8759718423195864</v>
      </c>
      <c r="AC140" s="7"/>
    </row>
    <row r="141" spans="1:29" x14ac:dyDescent="0.25">
      <c r="A141" s="7"/>
      <c r="C141" s="1" t="s">
        <v>14</v>
      </c>
      <c r="D141" s="8">
        <v>0.61540469267880926</v>
      </c>
      <c r="E141" s="8">
        <v>1.2334469570417406</v>
      </c>
      <c r="F141" s="8">
        <v>1.3799921121803567</v>
      </c>
      <c r="G141" s="8">
        <v>3.0698731588369461</v>
      </c>
      <c r="H141" s="8">
        <v>0.78411467148093383</v>
      </c>
      <c r="I141" s="8">
        <v>1.0855521403881196</v>
      </c>
      <c r="J141" s="8">
        <v>0.6476910780064985</v>
      </c>
      <c r="K141" s="8">
        <v>5.7799949881476211E-3</v>
      </c>
      <c r="L141" s="15">
        <v>8.8218548056015518</v>
      </c>
      <c r="AC141" s="7"/>
    </row>
    <row r="142" spans="1:29" x14ac:dyDescent="0.25">
      <c r="A142" s="7"/>
      <c r="C142" s="1" t="s">
        <v>15</v>
      </c>
      <c r="D142" s="8">
        <v>0.70411044902944819</v>
      </c>
      <c r="E142" s="8">
        <v>1.3799921121803569</v>
      </c>
      <c r="F142" s="8">
        <v>0.3880155406926058</v>
      </c>
      <c r="G142" s="8">
        <v>3.8845125699113865</v>
      </c>
      <c r="H142" s="8">
        <v>0.69232554195368334</v>
      </c>
      <c r="I142" s="8">
        <v>0.6476910780064985</v>
      </c>
      <c r="J142" s="8">
        <v>1.198720715291173</v>
      </c>
      <c r="K142" s="8">
        <v>1.3278946922118495</v>
      </c>
      <c r="L142" s="15">
        <v>10.223262699277001</v>
      </c>
      <c r="AC142" s="7"/>
    </row>
    <row r="143" spans="1:29" x14ac:dyDescent="0.25">
      <c r="A143" s="7"/>
      <c r="C143" s="1" t="s">
        <v>16</v>
      </c>
      <c r="D143" s="8">
        <v>1.3799921121803567</v>
      </c>
      <c r="E143" s="8">
        <v>3.0698731588369466</v>
      </c>
      <c r="F143" s="8">
        <v>3.8845125699113865</v>
      </c>
      <c r="G143" s="8">
        <v>2.599852971973573</v>
      </c>
      <c r="H143" s="8">
        <v>165.46514790081909</v>
      </c>
      <c r="I143" s="8">
        <v>91.222837208272693</v>
      </c>
      <c r="J143" s="8">
        <v>70.449578293832801</v>
      </c>
      <c r="K143" s="8">
        <v>2.4327875789572109</v>
      </c>
      <c r="L143" s="15">
        <v>340.50458179478409</v>
      </c>
      <c r="AC143" s="7"/>
    </row>
    <row r="144" spans="1:29" x14ac:dyDescent="0.25">
      <c r="A144" s="7"/>
      <c r="C144" s="1" t="s">
        <v>17</v>
      </c>
      <c r="D144" s="8">
        <v>1.0588339693129429</v>
      </c>
      <c r="E144" s="8">
        <v>0.78411467148093406</v>
      </c>
      <c r="F144" s="8">
        <v>0.69232554195368345</v>
      </c>
      <c r="G144" s="8">
        <v>165.46514790081909</v>
      </c>
      <c r="H144" s="8">
        <v>4.363209843167296E-6</v>
      </c>
      <c r="I144" s="8">
        <v>0.17103309250523771</v>
      </c>
      <c r="J144" s="8">
        <v>1.8623151320348558E-2</v>
      </c>
      <c r="K144" s="8">
        <v>1.3392553844387458</v>
      </c>
      <c r="L144" s="15">
        <v>169.52933807504087</v>
      </c>
      <c r="AC144" s="7"/>
    </row>
    <row r="145" spans="1:29" x14ac:dyDescent="0.25">
      <c r="A145" s="7"/>
      <c r="C145" s="1" t="s">
        <v>18</v>
      </c>
      <c r="D145" s="8">
        <v>0.78411467148093406</v>
      </c>
      <c r="E145" s="8">
        <v>1.0855521403881199</v>
      </c>
      <c r="F145" s="8">
        <v>0.6476910780064985</v>
      </c>
      <c r="G145" s="8">
        <v>91.222837208272693</v>
      </c>
      <c r="H145" s="8">
        <v>0.17103309250523771</v>
      </c>
      <c r="I145" s="8">
        <v>0.1374312454872936</v>
      </c>
      <c r="J145" s="8">
        <v>0.32598968954390478</v>
      </c>
      <c r="K145" s="8">
        <v>1.4600482698054562</v>
      </c>
      <c r="L145" s="15">
        <v>95.834697395490139</v>
      </c>
      <c r="AC145" s="7"/>
    </row>
    <row r="146" spans="1:29" x14ac:dyDescent="0.25">
      <c r="A146" s="7"/>
      <c r="C146" s="1" t="s">
        <v>19</v>
      </c>
      <c r="D146" s="8">
        <v>0.69232554195368334</v>
      </c>
      <c r="E146" s="8">
        <v>0.6476910780064985</v>
      </c>
      <c r="F146" s="8">
        <v>1.1987207152911732</v>
      </c>
      <c r="G146" s="8">
        <v>70.449578293832815</v>
      </c>
      <c r="H146" s="8">
        <v>1.8623151320348637E-2</v>
      </c>
      <c r="I146" s="8">
        <v>0.32598968954390478</v>
      </c>
      <c r="J146" s="8">
        <v>0.20783022484280184</v>
      </c>
      <c r="K146" s="8">
        <v>1.6904821153398388</v>
      </c>
      <c r="L146" s="15">
        <v>75.231240810131069</v>
      </c>
      <c r="AC146" s="7"/>
    </row>
    <row r="147" spans="1:29" x14ac:dyDescent="0.25">
      <c r="A147" s="7"/>
      <c r="C147" s="1" t="s">
        <v>20</v>
      </c>
      <c r="D147" s="8">
        <v>0.19163700216197493</v>
      </c>
      <c r="E147" s="8">
        <v>5.7799949881476211E-3</v>
      </c>
      <c r="F147" s="8">
        <v>1.3278946922118495</v>
      </c>
      <c r="G147" s="8">
        <v>2.43278757895721</v>
      </c>
      <c r="H147" s="8">
        <v>1.3392553844387458</v>
      </c>
      <c r="I147" s="8">
        <v>1.4600482698054558</v>
      </c>
      <c r="J147" s="8">
        <v>1.6904821153398388</v>
      </c>
      <c r="K147" s="8">
        <v>0.13282351227243808</v>
      </c>
      <c r="L147" s="15">
        <v>8.580708550175661</v>
      </c>
      <c r="N147">
        <v>1</v>
      </c>
      <c r="AC147" s="7"/>
    </row>
    <row r="148" spans="1:29" x14ac:dyDescent="0.25">
      <c r="A148" s="7"/>
      <c r="B148" s="7"/>
      <c r="C148" s="7"/>
      <c r="D148" s="15">
        <v>5.8759718423195864</v>
      </c>
      <c r="E148" s="15">
        <v>8.8218548056015536</v>
      </c>
      <c r="F148" s="15">
        <v>10.223262699277001</v>
      </c>
      <c r="G148" s="15">
        <v>340.50458179478409</v>
      </c>
      <c r="H148" s="15">
        <v>169.52933807504087</v>
      </c>
      <c r="I148" s="15">
        <v>95.834697395490139</v>
      </c>
      <c r="J148" s="15">
        <v>75.231240810131055</v>
      </c>
      <c r="K148" s="15">
        <v>8.580708550175661</v>
      </c>
      <c r="L148" s="16">
        <v>714.60165597282003</v>
      </c>
      <c r="M148" t="s">
        <v>11</v>
      </c>
      <c r="N148" s="7">
        <v>0</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8"/>
  <sheetViews>
    <sheetView zoomScale="120" zoomScaleNormal="120" workbookViewId="0">
      <selection activeCell="AB49" sqref="AB49"/>
    </sheetView>
  </sheetViews>
  <sheetFormatPr defaultRowHeight="15" x14ac:dyDescent="0.25"/>
  <cols>
    <col min="1" max="1" width="7" customWidth="1"/>
    <col min="2" max="2" width="7.42578125" customWidth="1"/>
    <col min="3" max="3" width="9.140625" customWidth="1"/>
    <col min="4" max="4" width="7" customWidth="1"/>
    <col min="5" max="5" width="7.42578125" customWidth="1"/>
    <col min="6" max="7" width="7.140625" customWidth="1"/>
    <col min="8" max="8" width="7.7109375" customWidth="1"/>
    <col min="9" max="9" width="6.7109375" customWidth="1"/>
    <col min="10" max="10" width="7" customWidth="1"/>
    <col min="11" max="11" width="8.7109375" customWidth="1"/>
    <col min="12" max="13" width="6.42578125" customWidth="1"/>
    <col min="14" max="14" width="6.5703125" customWidth="1"/>
    <col min="15" max="15" width="5.85546875" customWidth="1"/>
    <col min="16" max="16" width="6.5703125" customWidth="1"/>
    <col min="17" max="17" width="6.42578125" customWidth="1"/>
    <col min="18" max="18" width="6.5703125" customWidth="1"/>
    <col min="19" max="19" width="6.42578125" customWidth="1"/>
    <col min="20" max="20" width="7" customWidth="1"/>
    <col min="21" max="21" width="7.140625" customWidth="1"/>
    <col min="22" max="22" width="6.85546875" customWidth="1"/>
    <col min="23" max="23" width="7.28515625" customWidth="1"/>
    <col min="24" max="24" width="6.7109375" customWidth="1"/>
    <col min="25" max="25" width="6.28515625" customWidth="1"/>
    <col min="26" max="26" width="5.85546875" customWidth="1"/>
    <col min="27" max="27" width="6.5703125" customWidth="1"/>
    <col min="28" max="28" width="7.28515625" customWidth="1"/>
    <col min="29" max="29" width="6.85546875" customWidth="1"/>
    <col min="31" max="31" width="5.85546875" customWidth="1"/>
  </cols>
  <sheetData>
    <row r="1" spans="1:31"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c r="AD1" s="6"/>
      <c r="AE1" s="6"/>
    </row>
    <row r="2" spans="1:31" x14ac:dyDescent="0.25">
      <c r="A2" s="19">
        <v>0.25</v>
      </c>
      <c r="B2" s="19">
        <v>0.2</v>
      </c>
      <c r="C2" s="19">
        <v>0.15</v>
      </c>
      <c r="D2" s="19">
        <v>0.34180314832230752</v>
      </c>
      <c r="E2" s="19">
        <v>3.7544296406872928E-4</v>
      </c>
      <c r="F2" s="19">
        <v>2.1855706691675125E-4</v>
      </c>
      <c r="G2" s="19">
        <v>0</v>
      </c>
      <c r="H2" s="19">
        <v>0</v>
      </c>
      <c r="I2" s="19">
        <v>0</v>
      </c>
      <c r="J2" s="19">
        <v>0</v>
      </c>
      <c r="K2" s="19">
        <v>0.65760285182610634</v>
      </c>
      <c r="L2" s="1">
        <f>SUM(D2:K2)+p_MR+p_R</f>
        <v>1.0000000001793994</v>
      </c>
      <c r="N2" t="s">
        <v>36</v>
      </c>
      <c r="O2" s="4">
        <f>(L8+L9+L10+L11)/$L$12</f>
        <v>0.59499999999999997</v>
      </c>
      <c r="P2" s="4">
        <f>(H12+I12+J12+K12)/L12</f>
        <v>0.59499999999999997</v>
      </c>
      <c r="Y2" t="s">
        <v>94</v>
      </c>
      <c r="AC2" s="7"/>
      <c r="AD2" s="6"/>
      <c r="AE2" s="6"/>
    </row>
    <row r="3" spans="1:31" x14ac:dyDescent="0.25">
      <c r="A3" t="s">
        <v>79</v>
      </c>
      <c r="B3" s="21">
        <f>L148</f>
        <v>11.431132314979541</v>
      </c>
      <c r="C3" s="18" t="s">
        <v>12</v>
      </c>
      <c r="D3" s="1" t="s">
        <v>13</v>
      </c>
      <c r="E3" s="1" t="s">
        <v>14</v>
      </c>
      <c r="F3" s="1" t="s">
        <v>15</v>
      </c>
      <c r="G3" s="1" t="s">
        <v>16</v>
      </c>
      <c r="H3" s="1" t="s">
        <v>17</v>
      </c>
      <c r="I3" s="1" t="s">
        <v>18</v>
      </c>
      <c r="J3" s="1" t="s">
        <v>19</v>
      </c>
      <c r="K3" s="1" t="s">
        <v>20</v>
      </c>
      <c r="L3" s="1"/>
      <c r="N3" t="s">
        <v>37</v>
      </c>
      <c r="O3" s="4">
        <f>(L6+L7+L10+L11)/$L$12</f>
        <v>0.60499999999999998</v>
      </c>
      <c r="P3" s="4">
        <f>(F12+G12+J12+K12)/L12</f>
        <v>0.6</v>
      </c>
      <c r="Q3" t="s">
        <v>55</v>
      </c>
      <c r="Y3" s="1" t="s">
        <v>12</v>
      </c>
      <c r="Z3" t="s">
        <v>47</v>
      </c>
      <c r="AA3" t="s">
        <v>48</v>
      </c>
      <c r="AB3" t="s">
        <v>49</v>
      </c>
      <c r="AC3" s="7"/>
      <c r="AD3" s="6"/>
      <c r="AE3" s="6"/>
    </row>
    <row r="4" spans="1:31" x14ac:dyDescent="0.25">
      <c r="A4" t="s">
        <v>21</v>
      </c>
      <c r="B4">
        <f>CHIDIST(B3,47)</f>
        <v>0.99999997900162274</v>
      </c>
      <c r="C4" s="1" t="s">
        <v>13</v>
      </c>
      <c r="D4" s="10">
        <v>17</v>
      </c>
      <c r="E4">
        <v>3</v>
      </c>
      <c r="F4">
        <v>4</v>
      </c>
      <c r="G4">
        <v>1</v>
      </c>
      <c r="H4">
        <v>6</v>
      </c>
      <c r="I4">
        <v>1</v>
      </c>
      <c r="J4">
        <v>2</v>
      </c>
      <c r="K4">
        <v>2</v>
      </c>
      <c r="L4" s="1">
        <f>SUM(D4:K4)</f>
        <v>36</v>
      </c>
      <c r="N4" t="s">
        <v>38</v>
      </c>
      <c r="O4" s="4">
        <f>(L5+L7+L9+L11)/$L$12</f>
        <v>0.6</v>
      </c>
      <c r="P4" s="4">
        <f>(E12+G12+I12+K12)/L12</f>
        <v>0.59499999999999997</v>
      </c>
      <c r="Q4" t="s">
        <v>56</v>
      </c>
      <c r="T4" t="s">
        <v>44</v>
      </c>
      <c r="V4" t="s">
        <v>57</v>
      </c>
      <c r="Y4" s="1" t="s">
        <v>13</v>
      </c>
      <c r="Z4">
        <f>L4</f>
        <v>36</v>
      </c>
      <c r="AA4">
        <f>D4</f>
        <v>17</v>
      </c>
      <c r="AB4">
        <f>Z4-AA4</f>
        <v>19</v>
      </c>
      <c r="AC4" s="7"/>
      <c r="AD4" s="6"/>
      <c r="AE4" s="6"/>
    </row>
    <row r="5" spans="1:31" x14ac:dyDescent="0.25">
      <c r="C5" s="1" t="s">
        <v>14</v>
      </c>
      <c r="D5">
        <v>3</v>
      </c>
      <c r="E5" s="10">
        <v>1</v>
      </c>
      <c r="F5">
        <v>1</v>
      </c>
      <c r="G5">
        <v>1</v>
      </c>
      <c r="H5">
        <v>1</v>
      </c>
      <c r="I5">
        <v>1</v>
      </c>
      <c r="J5">
        <v>0</v>
      </c>
      <c r="K5">
        <v>1</v>
      </c>
      <c r="L5" s="1">
        <f t="shared" ref="L5:L12" si="0">SUM(D5:K5)</f>
        <v>9</v>
      </c>
      <c r="M5" s="10" t="s">
        <v>39</v>
      </c>
      <c r="N5" s="10">
        <v>1</v>
      </c>
      <c r="O5" s="10">
        <v>2</v>
      </c>
      <c r="P5" s="10" t="s">
        <v>39</v>
      </c>
      <c r="Q5" s="10">
        <v>1</v>
      </c>
      <c r="R5" s="10">
        <v>2</v>
      </c>
      <c r="S5" s="10" t="s">
        <v>39</v>
      </c>
      <c r="T5" s="10">
        <v>1</v>
      </c>
      <c r="U5" s="10">
        <v>2</v>
      </c>
      <c r="V5" s="10" t="s">
        <v>11</v>
      </c>
      <c r="W5" t="s">
        <v>42</v>
      </c>
      <c r="X5" t="s">
        <v>43</v>
      </c>
      <c r="Y5" s="1" t="s">
        <v>14</v>
      </c>
      <c r="Z5">
        <f t="shared" ref="Z5:Z11" si="1">L5</f>
        <v>9</v>
      </c>
      <c r="AA5">
        <f>E5</f>
        <v>1</v>
      </c>
      <c r="AB5">
        <f t="shared" ref="AB5:AB11" si="2">Z5-AA5</f>
        <v>8</v>
      </c>
      <c r="AC5" s="7"/>
      <c r="AD5" s="6"/>
      <c r="AE5" s="6"/>
    </row>
    <row r="6" spans="1:31" x14ac:dyDescent="0.25">
      <c r="A6" t="s">
        <v>22</v>
      </c>
      <c r="B6" s="20">
        <f>e1_</f>
        <v>0.25</v>
      </c>
      <c r="C6" s="1" t="s">
        <v>15</v>
      </c>
      <c r="D6">
        <v>5</v>
      </c>
      <c r="E6">
        <v>1</v>
      </c>
      <c r="F6" s="10">
        <v>0</v>
      </c>
      <c r="G6">
        <v>1</v>
      </c>
      <c r="H6">
        <v>2</v>
      </c>
      <c r="I6">
        <v>1</v>
      </c>
      <c r="J6">
        <v>1</v>
      </c>
      <c r="K6">
        <v>2</v>
      </c>
      <c r="L6" s="1">
        <f t="shared" si="0"/>
        <v>13</v>
      </c>
      <c r="M6" s="10">
        <v>1</v>
      </c>
      <c r="N6">
        <f>D4+E4+F4+G4+D5+E5+F5+G5+D6+E6+F6+G6+D7+E7+F7+G7</f>
        <v>44</v>
      </c>
      <c r="O6">
        <f>H4+I4+J4+K4+H5+I5+J5+K5+H6+I6+J6+K6+H7+I7+J7+K7</f>
        <v>37</v>
      </c>
      <c r="P6" s="10">
        <v>1</v>
      </c>
      <c r="Q6">
        <f>(N6+O6)*(N6+N7)/$L$12</f>
        <v>32.805</v>
      </c>
      <c r="R6">
        <f>(N6+O6)*(O6+O7)/$L$12</f>
        <v>48.195</v>
      </c>
      <c r="S6" s="10">
        <v>1</v>
      </c>
      <c r="T6">
        <f>POWER(N6-Q6,2)/Q6</f>
        <v>3.8203939948178633</v>
      </c>
      <c r="U6">
        <f>POWER(O6-R6,2)/R6</f>
        <v>2.6004362485735038</v>
      </c>
      <c r="V6" s="25">
        <f>T6+U6+T7+U7</f>
        <v>10.791311333430867</v>
      </c>
      <c r="W6">
        <f>_xlfn.CHISQ.DIST(V6,1,TRUE)</f>
        <v>0.99898022384529428</v>
      </c>
      <c r="X6" s="25">
        <f>1-W6</f>
        <v>1.0197761547057205E-3</v>
      </c>
      <c r="Y6" s="1" t="s">
        <v>15</v>
      </c>
      <c r="Z6">
        <f t="shared" si="1"/>
        <v>13</v>
      </c>
      <c r="AA6">
        <f>F6</f>
        <v>0</v>
      </c>
      <c r="AB6">
        <f t="shared" si="2"/>
        <v>13</v>
      </c>
      <c r="AC6" s="7"/>
      <c r="AD6" s="6"/>
      <c r="AE6" s="6"/>
    </row>
    <row r="7" spans="1:31" x14ac:dyDescent="0.25">
      <c r="A7" t="s">
        <v>23</v>
      </c>
      <c r="B7" s="20">
        <f>e2_</f>
        <v>0.2</v>
      </c>
      <c r="C7" s="1" t="s">
        <v>16</v>
      </c>
      <c r="D7">
        <v>1</v>
      </c>
      <c r="E7">
        <v>1</v>
      </c>
      <c r="F7">
        <v>1</v>
      </c>
      <c r="G7" s="10">
        <v>3</v>
      </c>
      <c r="H7">
        <v>1</v>
      </c>
      <c r="I7">
        <v>3</v>
      </c>
      <c r="J7">
        <v>2</v>
      </c>
      <c r="K7">
        <v>11</v>
      </c>
      <c r="L7" s="1">
        <f t="shared" si="0"/>
        <v>23</v>
      </c>
      <c r="M7" s="10">
        <v>2</v>
      </c>
      <c r="N7">
        <f>D8+E8+F8+G8+D9+E9+F9+G9+D10+E10+F10+G10+D11+E11+F11+G11</f>
        <v>37</v>
      </c>
      <c r="O7">
        <f>H8+I8+J8+K8+H9+I9+J9+K9+H10+I10+J10+K10+H11+I11+J11+K11</f>
        <v>82</v>
      </c>
      <c r="P7" s="10">
        <v>2</v>
      </c>
      <c r="Q7">
        <f>(N6+N7)*(N7+O7)/$L$12</f>
        <v>48.195</v>
      </c>
      <c r="R7">
        <f>(N7+O7)*(O6+O7)/$L$12</f>
        <v>70.805000000000007</v>
      </c>
      <c r="S7" s="10">
        <v>2</v>
      </c>
      <c r="T7">
        <f>POWER(N7-Q7,2)/Q7</f>
        <v>2.6004362485735038</v>
      </c>
      <c r="U7">
        <f>POWER(O7-R7,2)/R7</f>
        <v>1.7700448414659957</v>
      </c>
      <c r="Y7" s="1" t="s">
        <v>16</v>
      </c>
      <c r="Z7">
        <f t="shared" si="1"/>
        <v>23</v>
      </c>
      <c r="AA7">
        <f>G7</f>
        <v>3</v>
      </c>
      <c r="AB7">
        <f t="shared" si="2"/>
        <v>20</v>
      </c>
      <c r="AC7" s="7"/>
      <c r="AD7" s="6"/>
      <c r="AE7" s="6"/>
    </row>
    <row r="8" spans="1:31" x14ac:dyDescent="0.25">
      <c r="A8" t="s">
        <v>24</v>
      </c>
      <c r="B8" s="20">
        <f>e3_</f>
        <v>0.15</v>
      </c>
      <c r="C8" s="1" t="s">
        <v>17</v>
      </c>
      <c r="D8">
        <v>6</v>
      </c>
      <c r="E8">
        <v>1</v>
      </c>
      <c r="F8">
        <v>2</v>
      </c>
      <c r="G8">
        <v>1</v>
      </c>
      <c r="H8" s="10">
        <v>2</v>
      </c>
      <c r="I8">
        <v>0</v>
      </c>
      <c r="J8">
        <v>1</v>
      </c>
      <c r="K8">
        <v>2</v>
      </c>
      <c r="L8" s="1">
        <f t="shared" si="0"/>
        <v>15</v>
      </c>
      <c r="M8" s="10" t="s">
        <v>40</v>
      </c>
      <c r="N8">
        <v>1</v>
      </c>
      <c r="O8">
        <v>2</v>
      </c>
      <c r="P8" s="10" t="s">
        <v>40</v>
      </c>
      <c r="S8" s="10" t="s">
        <v>40</v>
      </c>
      <c r="Y8" s="1" t="s">
        <v>17</v>
      </c>
      <c r="Z8">
        <f t="shared" si="1"/>
        <v>15</v>
      </c>
      <c r="AA8">
        <f>H8</f>
        <v>2</v>
      </c>
      <c r="AB8">
        <f t="shared" si="2"/>
        <v>13</v>
      </c>
      <c r="AC8" s="7"/>
      <c r="AD8" s="6"/>
      <c r="AE8" s="6"/>
    </row>
    <row r="9" spans="1:31" x14ac:dyDescent="0.25">
      <c r="C9" s="1" t="s">
        <v>18</v>
      </c>
      <c r="D9">
        <v>1</v>
      </c>
      <c r="E9">
        <v>1</v>
      </c>
      <c r="F9">
        <v>1</v>
      </c>
      <c r="G9">
        <v>3</v>
      </c>
      <c r="H9">
        <v>1</v>
      </c>
      <c r="I9" s="10">
        <v>2</v>
      </c>
      <c r="J9">
        <v>2</v>
      </c>
      <c r="K9">
        <v>8</v>
      </c>
      <c r="L9" s="1">
        <f t="shared" si="0"/>
        <v>19</v>
      </c>
      <c r="M9" s="10">
        <v>1</v>
      </c>
      <c r="N9">
        <f>D4+E4+H4+I4+D5+E5+H5+I5+D8+E8+H8+I8+D9+E9+H9+I9</f>
        <v>47</v>
      </c>
      <c r="O9">
        <f>F4+G4+J4+K4+F5+G5+J5+K5+F8+G8+J8+K8+F9+G9+J9+K9</f>
        <v>32</v>
      </c>
      <c r="P9" s="10">
        <v>1</v>
      </c>
      <c r="Q9">
        <f>(N9+O9)*(N9+N10)/$L$12</f>
        <v>31.6</v>
      </c>
      <c r="R9">
        <f>(N9+O9)*(O9+O10)/$L$12</f>
        <v>47.4</v>
      </c>
      <c r="S9" s="10">
        <v>1</v>
      </c>
      <c r="T9">
        <f>POWER(N9-Q9,2)/Q9</f>
        <v>7.5050632911392388</v>
      </c>
      <c r="U9">
        <f>POWER(O9-R9,2)/R9</f>
        <v>5.0033755274261598</v>
      </c>
      <c r="V9" s="25">
        <f>T9+U9+T10+U10</f>
        <v>20.675105485232066</v>
      </c>
      <c r="W9">
        <f>_xlfn.CHISQ.DIST(V9,1,TRUE)</f>
        <v>0.99999455810598126</v>
      </c>
      <c r="X9" s="25">
        <f>1-W9</f>
        <v>5.4418940187428433E-6</v>
      </c>
      <c r="Y9" s="1" t="s">
        <v>18</v>
      </c>
      <c r="Z9">
        <f t="shared" si="1"/>
        <v>19</v>
      </c>
      <c r="AA9">
        <f>I9</f>
        <v>2</v>
      </c>
      <c r="AB9">
        <f t="shared" si="2"/>
        <v>17</v>
      </c>
      <c r="AC9" s="7"/>
      <c r="AD9" s="6"/>
      <c r="AE9" s="6"/>
    </row>
    <row r="10" spans="1:31" x14ac:dyDescent="0.25">
      <c r="A10" s="7"/>
      <c r="C10" s="1" t="s">
        <v>19</v>
      </c>
      <c r="D10">
        <v>2</v>
      </c>
      <c r="E10">
        <v>0</v>
      </c>
      <c r="F10">
        <v>1</v>
      </c>
      <c r="G10">
        <v>2</v>
      </c>
      <c r="H10">
        <v>1</v>
      </c>
      <c r="I10">
        <v>2</v>
      </c>
      <c r="J10" s="10">
        <v>2</v>
      </c>
      <c r="K10">
        <v>6</v>
      </c>
      <c r="L10" s="1">
        <f t="shared" si="0"/>
        <v>16</v>
      </c>
      <c r="M10" s="10">
        <v>2</v>
      </c>
      <c r="N10">
        <f>D6+E6+H6+I6+D7+E7+H7+I7+D10+E10+H10+I10+D11+E11+H11+I11</f>
        <v>33</v>
      </c>
      <c r="O10">
        <f>F6+G6+J6+K6+F7+G7+J7+K7+F10+G10+J10+K10+F11+G11+J11+K11</f>
        <v>88</v>
      </c>
      <c r="P10" s="10">
        <v>2</v>
      </c>
      <c r="Q10">
        <f>(N9+N10)*(N10+O10)/$L$12</f>
        <v>48.4</v>
      </c>
      <c r="R10">
        <f>(N10+O10)*(O9+O10)/$L$12</f>
        <v>72.599999999999994</v>
      </c>
      <c r="S10" s="10">
        <v>2</v>
      </c>
      <c r="T10">
        <f>POWER(N10-Q10,2)/Q10</f>
        <v>4.8999999999999995</v>
      </c>
      <c r="U10">
        <f>POWER(O10-R10,2)/R10</f>
        <v>3.2666666666666693</v>
      </c>
      <c r="Y10" s="1" t="s">
        <v>19</v>
      </c>
      <c r="Z10">
        <f t="shared" si="1"/>
        <v>16</v>
      </c>
      <c r="AA10">
        <f>J10</f>
        <v>2</v>
      </c>
      <c r="AB10">
        <f t="shared" si="2"/>
        <v>14</v>
      </c>
      <c r="AC10" s="7"/>
      <c r="AD10" s="6"/>
      <c r="AE10" s="6"/>
    </row>
    <row r="11" spans="1:31" x14ac:dyDescent="0.25">
      <c r="A11" s="7">
        <v>0</v>
      </c>
      <c r="B11" s="6">
        <v>0</v>
      </c>
      <c r="C11" s="1" t="s">
        <v>20</v>
      </c>
      <c r="D11">
        <v>1</v>
      </c>
      <c r="E11">
        <v>1</v>
      </c>
      <c r="F11">
        <v>3</v>
      </c>
      <c r="G11">
        <v>11</v>
      </c>
      <c r="H11">
        <v>2</v>
      </c>
      <c r="I11">
        <v>9</v>
      </c>
      <c r="J11">
        <v>6</v>
      </c>
      <c r="K11" s="10">
        <v>36</v>
      </c>
      <c r="L11" s="1">
        <f t="shared" si="0"/>
        <v>69</v>
      </c>
      <c r="M11" s="10" t="s">
        <v>41</v>
      </c>
      <c r="N11">
        <v>1</v>
      </c>
      <c r="O11">
        <v>2</v>
      </c>
      <c r="P11" s="10" t="s">
        <v>41</v>
      </c>
      <c r="S11" s="10" t="s">
        <v>41</v>
      </c>
      <c r="Y11" s="1" t="s">
        <v>20</v>
      </c>
      <c r="Z11">
        <f t="shared" si="1"/>
        <v>69</v>
      </c>
      <c r="AA11">
        <f>K11</f>
        <v>36</v>
      </c>
      <c r="AB11">
        <f t="shared" si="2"/>
        <v>33</v>
      </c>
      <c r="AC11" s="7"/>
      <c r="AD11" s="6"/>
      <c r="AE11" s="6"/>
    </row>
    <row r="12" spans="1:31" x14ac:dyDescent="0.25">
      <c r="A12" s="7"/>
      <c r="B12" s="6"/>
      <c r="C12" s="1"/>
      <c r="D12" s="1">
        <f>SUM(D4:D11)</f>
        <v>36</v>
      </c>
      <c r="E12" s="1">
        <f t="shared" ref="E12:K12" si="3">SUM(E4:E11)</f>
        <v>9</v>
      </c>
      <c r="F12" s="1">
        <f t="shared" si="3"/>
        <v>13</v>
      </c>
      <c r="G12" s="1">
        <f t="shared" si="3"/>
        <v>23</v>
      </c>
      <c r="H12" s="1">
        <f t="shared" si="3"/>
        <v>16</v>
      </c>
      <c r="I12" s="1">
        <f t="shared" si="3"/>
        <v>19</v>
      </c>
      <c r="J12" s="1">
        <f t="shared" si="3"/>
        <v>16</v>
      </c>
      <c r="K12" s="1">
        <f t="shared" si="3"/>
        <v>68</v>
      </c>
      <c r="L12" s="1">
        <f t="shared" si="0"/>
        <v>200</v>
      </c>
      <c r="M12" s="10">
        <v>1</v>
      </c>
      <c r="N12">
        <f>D4+F4+H4+J4+D6+F6+H6+J6+D8+F8+H8+J8+D10+F10+H10+J10</f>
        <v>54</v>
      </c>
      <c r="O12">
        <f>E4+G4+I4+K4+E6+G6+I6+K6+E8+G8+I8+K8+E10+G10+I10+K10</f>
        <v>26</v>
      </c>
      <c r="P12" s="10">
        <v>1</v>
      </c>
      <c r="Q12">
        <f>(N12+O12)*(N12+N13)/$L$12</f>
        <v>32.4</v>
      </c>
      <c r="R12">
        <f>(N12+O12)*(O12+O13)/$L$12</f>
        <v>47.6</v>
      </c>
      <c r="S12" s="10">
        <v>1</v>
      </c>
      <c r="T12">
        <f>POWER(N12-Q12,2)/Q12</f>
        <v>14.400000000000002</v>
      </c>
      <c r="U12">
        <f>POWER(O12-R12,2)/R12</f>
        <v>9.8016806722689083</v>
      </c>
      <c r="V12" s="25">
        <f>T12+U12+T13+U13</f>
        <v>40.336134453781519</v>
      </c>
      <c r="W12">
        <f>_xlfn.CHISQ.DIST(V12,1,TRUE)</f>
        <v>0.99999999978618248</v>
      </c>
      <c r="X12" s="25">
        <f>1-W12</f>
        <v>2.1381751924565151E-10</v>
      </c>
      <c r="Y12" s="1" t="s">
        <v>46</v>
      </c>
      <c r="Z12" s="7">
        <f>SUM(Z4:Z11)</f>
        <v>200</v>
      </c>
      <c r="AA12" s="7">
        <f>SUM(AA4:AA11)</f>
        <v>63</v>
      </c>
      <c r="AB12" s="7">
        <f>SUM(AB4:AB11)</f>
        <v>137</v>
      </c>
      <c r="AC12" s="7"/>
      <c r="AD12" s="6"/>
      <c r="AE12" s="6"/>
    </row>
    <row r="13" spans="1:31" x14ac:dyDescent="0.25">
      <c r="A13" s="7"/>
      <c r="C13" s="1" t="s">
        <v>25</v>
      </c>
      <c r="D13" s="4">
        <f>p_111*(1-ep1_)*(1-ep2_)*(1-ep3_)</f>
        <v>0.17431960564437685</v>
      </c>
      <c r="E13" s="4">
        <f>p_111*(1-ep1_)*(1-ep2_)*(ep3_)</f>
        <v>3.0762283349007678E-2</v>
      </c>
      <c r="F13" s="4">
        <f>p_111*(1-ep1_)*(ep2_)*(1-ep3_)</f>
        <v>4.3579901411094212E-2</v>
      </c>
      <c r="G13" s="4">
        <f>p_111*(1-ep1_)*(ep2_)*(ep3_)</f>
        <v>7.6905708372519196E-3</v>
      </c>
      <c r="H13" s="4">
        <f>p_111*(ep1_)*(1-ep2_)*(1-ep3_)</f>
        <v>5.8106535214792275E-2</v>
      </c>
      <c r="I13" s="4">
        <f>p_111*(ep1_)*(1-ep2_)*(ep3_)</f>
        <v>1.0254094449669226E-2</v>
      </c>
      <c r="J13" s="4">
        <f>p_111*(ep1_)*(ep2_)*(1-ep3_)</f>
        <v>1.4526633803698069E-2</v>
      </c>
      <c r="K13" s="4">
        <f>p_111*(ep1_)*(ep2_)*(ep3_)</f>
        <v>2.5635236124173064E-3</v>
      </c>
      <c r="M13" s="10">
        <v>2</v>
      </c>
      <c r="N13">
        <f>D5+F5+H5+J5+D7+F7+H7+J7+D9+F9+H9+J9+D11+F11+H11+J11</f>
        <v>27</v>
      </c>
      <c r="O13">
        <f>E5+G5+I5+K5+E7+G7+I7+K7+E9+G9+I9+K9+E11+G11+I11+K11</f>
        <v>93</v>
      </c>
      <c r="P13" s="10">
        <v>2</v>
      </c>
      <c r="Q13">
        <f>(N12+N13)*(N13+O13)/$L$12</f>
        <v>48.6</v>
      </c>
      <c r="R13">
        <f>(N13+O13)*(O12+O13)/$L$12</f>
        <v>71.400000000000006</v>
      </c>
      <c r="S13" s="10">
        <v>2</v>
      </c>
      <c r="T13">
        <f>POWER(N13-Q13,2)/Q13</f>
        <v>9.6000000000000014</v>
      </c>
      <c r="U13">
        <f>POWER(O13-R13,2)/R13</f>
        <v>6.5344537815126014</v>
      </c>
      <c r="AC13" s="7"/>
      <c r="AD13" s="6"/>
      <c r="AE13" s="6"/>
    </row>
    <row r="14" spans="1:31"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c r="AD14" s="6"/>
      <c r="AE14" s="6"/>
    </row>
    <row r="15" spans="1:31" x14ac:dyDescent="0.25">
      <c r="A15" s="7"/>
      <c r="B15" s="4">
        <f>(1-e1_)*(1-e2_)*(1-e3_)</f>
        <v>0.51</v>
      </c>
      <c r="C15" s="1" t="s">
        <v>13</v>
      </c>
      <c r="D15" s="4">
        <f t="shared" ref="D15:K22" si="4">row_111*col_111</f>
        <v>8.8902998878632192E-2</v>
      </c>
      <c r="E15" s="4">
        <f t="shared" si="4"/>
        <v>1.5688764507993915E-2</v>
      </c>
      <c r="F15" s="4">
        <f t="shared" si="4"/>
        <v>2.2225749719658048E-2</v>
      </c>
      <c r="G15" s="4">
        <f t="shared" si="4"/>
        <v>3.9221911269984788E-3</v>
      </c>
      <c r="H15" s="4">
        <f t="shared" si="4"/>
        <v>2.9634332959544062E-2</v>
      </c>
      <c r="I15" s="4">
        <f t="shared" si="4"/>
        <v>5.2295881693313053E-3</v>
      </c>
      <c r="J15" s="4">
        <f t="shared" si="4"/>
        <v>7.4085832398860154E-3</v>
      </c>
      <c r="K15" s="4">
        <f t="shared" si="4"/>
        <v>1.3073970423328263E-3</v>
      </c>
      <c r="AC15" s="7"/>
    </row>
    <row r="16" spans="1:31" x14ac:dyDescent="0.25">
      <c r="A16" s="7"/>
      <c r="B16" s="4">
        <f>(1-e1_)*(1-e2_)*(e3_)</f>
        <v>9.0000000000000011E-2</v>
      </c>
      <c r="C16" s="1" t="s">
        <v>14</v>
      </c>
      <c r="D16" s="4">
        <f t="shared" si="4"/>
        <v>1.5688764507993919E-2</v>
      </c>
      <c r="E16" s="4">
        <f t="shared" si="4"/>
        <v>2.7686055014106916E-3</v>
      </c>
      <c r="F16" s="4">
        <f t="shared" si="4"/>
        <v>3.9221911269984797E-3</v>
      </c>
      <c r="G16" s="4">
        <f t="shared" si="4"/>
        <v>6.9215137535267289E-4</v>
      </c>
      <c r="H16" s="4">
        <f t="shared" si="4"/>
        <v>5.2295881693313053E-3</v>
      </c>
      <c r="I16" s="4">
        <f t="shared" si="4"/>
        <v>9.2286850047023044E-4</v>
      </c>
      <c r="J16" s="4">
        <f t="shared" si="4"/>
        <v>1.3073970423328263E-3</v>
      </c>
      <c r="K16" s="4">
        <f t="shared" si="4"/>
        <v>2.3071712511755761E-4</v>
      </c>
      <c r="O16" s="8"/>
      <c r="AC16" s="7"/>
    </row>
    <row r="17" spans="1:29" x14ac:dyDescent="0.25">
      <c r="A17" s="7"/>
      <c r="B17" s="4">
        <f>(1-e1_)*(e2_)*(1-e3_)</f>
        <v>0.1275</v>
      </c>
      <c r="C17" s="1" t="s">
        <v>15</v>
      </c>
      <c r="D17" s="4">
        <f t="shared" si="4"/>
        <v>2.2225749719658048E-2</v>
      </c>
      <c r="E17" s="4">
        <f t="shared" si="4"/>
        <v>3.9221911269984788E-3</v>
      </c>
      <c r="F17" s="4">
        <f t="shared" si="4"/>
        <v>5.556437429914512E-3</v>
      </c>
      <c r="G17" s="4">
        <f t="shared" si="4"/>
        <v>9.805477817496197E-4</v>
      </c>
      <c r="H17" s="4">
        <f t="shared" si="4"/>
        <v>7.4085832398860154E-3</v>
      </c>
      <c r="I17" s="4">
        <f t="shared" si="4"/>
        <v>1.3073970423328263E-3</v>
      </c>
      <c r="J17" s="4">
        <f t="shared" si="4"/>
        <v>1.8521458099715039E-3</v>
      </c>
      <c r="K17" s="4">
        <f t="shared" si="4"/>
        <v>3.2684926058320658E-4</v>
      </c>
      <c r="AC17" s="7"/>
    </row>
    <row r="18" spans="1:29" x14ac:dyDescent="0.25">
      <c r="A18" s="7"/>
      <c r="B18" s="4">
        <f>(1-e1_)*(e2_)*(e3_)</f>
        <v>2.2500000000000003E-2</v>
      </c>
      <c r="C18" s="1" t="s">
        <v>16</v>
      </c>
      <c r="D18" s="4">
        <f t="shared" si="4"/>
        <v>3.9221911269984797E-3</v>
      </c>
      <c r="E18" s="4">
        <f t="shared" si="4"/>
        <v>6.9215137535267289E-4</v>
      </c>
      <c r="F18" s="4">
        <f t="shared" si="4"/>
        <v>9.8054778174961991E-4</v>
      </c>
      <c r="G18" s="4">
        <f t="shared" si="4"/>
        <v>1.7303784383816822E-4</v>
      </c>
      <c r="H18" s="4">
        <f t="shared" si="4"/>
        <v>1.3073970423328263E-3</v>
      </c>
      <c r="I18" s="4">
        <f t="shared" si="4"/>
        <v>2.3071712511755761E-4</v>
      </c>
      <c r="J18" s="4">
        <f t="shared" si="4"/>
        <v>3.2684926058320658E-4</v>
      </c>
      <c r="K18" s="4">
        <f t="shared" si="4"/>
        <v>5.7679281279389403E-5</v>
      </c>
      <c r="AC18" s="7"/>
    </row>
    <row r="19" spans="1:29" x14ac:dyDescent="0.25">
      <c r="A19" s="7"/>
      <c r="B19" s="4">
        <f>(e1_)*(1-e2_)*(1-e3_)</f>
        <v>0.17</v>
      </c>
      <c r="C19" s="1" t="s">
        <v>17</v>
      </c>
      <c r="D19" s="4">
        <f t="shared" si="4"/>
        <v>2.9634332959544065E-2</v>
      </c>
      <c r="E19" s="4">
        <f t="shared" si="4"/>
        <v>5.2295881693313053E-3</v>
      </c>
      <c r="F19" s="4">
        <f t="shared" si="4"/>
        <v>7.4085832398860163E-3</v>
      </c>
      <c r="G19" s="4">
        <f t="shared" si="4"/>
        <v>1.3073970423328263E-3</v>
      </c>
      <c r="H19" s="4">
        <f t="shared" si="4"/>
        <v>9.8781109865146866E-3</v>
      </c>
      <c r="I19" s="4">
        <f t="shared" si="4"/>
        <v>1.7431960564437685E-3</v>
      </c>
      <c r="J19" s="4">
        <f t="shared" si="4"/>
        <v>2.4695277466286717E-3</v>
      </c>
      <c r="K19" s="4">
        <f t="shared" si="4"/>
        <v>4.3579901411094213E-4</v>
      </c>
      <c r="AC19" s="7"/>
    </row>
    <row r="20" spans="1:29" x14ac:dyDescent="0.25">
      <c r="A20" s="7"/>
      <c r="B20" s="4">
        <f>(e1_)*(1-e2_)*(e3_)</f>
        <v>0.03</v>
      </c>
      <c r="C20" s="1" t="s">
        <v>18</v>
      </c>
      <c r="D20" s="4">
        <f t="shared" si="4"/>
        <v>5.2295881693313053E-3</v>
      </c>
      <c r="E20" s="4">
        <f t="shared" si="4"/>
        <v>9.2286850047023034E-4</v>
      </c>
      <c r="F20" s="4">
        <f t="shared" si="4"/>
        <v>1.3073970423328263E-3</v>
      </c>
      <c r="G20" s="4">
        <f t="shared" si="4"/>
        <v>2.3071712511755758E-4</v>
      </c>
      <c r="H20" s="4">
        <f t="shared" si="4"/>
        <v>1.7431960564437681E-3</v>
      </c>
      <c r="I20" s="4">
        <f t="shared" si="4"/>
        <v>3.0762283349007678E-4</v>
      </c>
      <c r="J20" s="4">
        <f t="shared" si="4"/>
        <v>4.3579901411094202E-4</v>
      </c>
      <c r="K20" s="4">
        <f t="shared" si="4"/>
        <v>7.6905708372519195E-5</v>
      </c>
      <c r="AC20" s="7"/>
    </row>
    <row r="21" spans="1:29" x14ac:dyDescent="0.25">
      <c r="A21" s="7"/>
      <c r="B21" s="4">
        <f>(e1_)*(e2_)*(1-e3_)</f>
        <v>4.2500000000000003E-2</v>
      </c>
      <c r="C21" s="1" t="s">
        <v>19</v>
      </c>
      <c r="D21" s="4">
        <f t="shared" si="4"/>
        <v>7.4085832398860163E-3</v>
      </c>
      <c r="E21" s="4">
        <f t="shared" si="4"/>
        <v>1.3073970423328263E-3</v>
      </c>
      <c r="F21" s="4">
        <f t="shared" si="4"/>
        <v>1.8521458099715041E-3</v>
      </c>
      <c r="G21" s="4">
        <f t="shared" si="4"/>
        <v>3.2684926058320658E-4</v>
      </c>
      <c r="H21" s="4">
        <f t="shared" si="4"/>
        <v>2.4695277466286717E-3</v>
      </c>
      <c r="I21" s="4">
        <f t="shared" si="4"/>
        <v>4.3579901411094213E-4</v>
      </c>
      <c r="J21" s="4">
        <f t="shared" si="4"/>
        <v>6.1738193665716791E-4</v>
      </c>
      <c r="K21" s="4">
        <f t="shared" si="4"/>
        <v>1.0894975352773553E-4</v>
      </c>
      <c r="M21" t="s">
        <v>62</v>
      </c>
      <c r="AC21" s="7"/>
    </row>
    <row r="22" spans="1:29" x14ac:dyDescent="0.25">
      <c r="A22" s="7"/>
      <c r="B22" s="4">
        <f>(e1_)*(e2_)*(e3_)</f>
        <v>7.4999999999999997E-3</v>
      </c>
      <c r="C22" s="1" t="s">
        <v>20</v>
      </c>
      <c r="D22" s="4">
        <f t="shared" si="4"/>
        <v>1.3073970423328263E-3</v>
      </c>
      <c r="E22" s="4">
        <f t="shared" si="4"/>
        <v>2.3071712511755758E-4</v>
      </c>
      <c r="F22" s="4">
        <f t="shared" si="4"/>
        <v>3.2684926058320658E-4</v>
      </c>
      <c r="G22" s="4">
        <f t="shared" si="4"/>
        <v>5.7679281279389396E-5</v>
      </c>
      <c r="H22" s="4">
        <f t="shared" si="4"/>
        <v>4.3579901411094202E-4</v>
      </c>
      <c r="I22" s="4">
        <f t="shared" si="4"/>
        <v>7.6905708372519195E-5</v>
      </c>
      <c r="J22" s="4">
        <f t="shared" si="4"/>
        <v>1.0894975352773551E-4</v>
      </c>
      <c r="K22" s="4">
        <f t="shared" si="4"/>
        <v>1.9226427093129799E-5</v>
      </c>
      <c r="AC22" s="7"/>
    </row>
    <row r="23" spans="1:29" x14ac:dyDescent="0.25">
      <c r="A23" s="7"/>
      <c r="AC23" s="7"/>
    </row>
    <row r="24" spans="1:29" x14ac:dyDescent="0.25">
      <c r="A24" s="7"/>
      <c r="C24" s="1" t="s">
        <v>26</v>
      </c>
      <c r="D24" s="4">
        <f>p_112*(1-ep1_)*(1-ep2_)*(ep3_)</f>
        <v>3.3789866766185631E-5</v>
      </c>
      <c r="E24" s="4">
        <f>p_112*(1-ep1_)*(1-ep2_)*(1-ep3_)</f>
        <v>1.9147591167505192E-4</v>
      </c>
      <c r="F24" s="4">
        <f>p_112*(1-ep1_)*(ep2_)*(ep3_)</f>
        <v>8.4474666915464078E-6</v>
      </c>
      <c r="G24" s="4">
        <f>p_112*(1-ep1_)*(ep2_)*(1-ep3_)</f>
        <v>4.7868977918762979E-5</v>
      </c>
      <c r="H24" s="4">
        <f>p_112*(ep1_)*(1-ep2_)*(ep3_)</f>
        <v>1.1263288922061879E-5</v>
      </c>
      <c r="I24" s="4">
        <f>p_112*(ep1_)*(1-ep2_)*(1-ep3_)</f>
        <v>6.3825303891683972E-5</v>
      </c>
      <c r="J24" s="4">
        <f>p_112*(ep1_)*(ep2_)*(ep3_)</f>
        <v>2.8158222305154697E-6</v>
      </c>
      <c r="K24" s="4">
        <f>p_112*(ep1_)*(ep2_)*(1-ep3_)</f>
        <v>1.5956325972920993E-5</v>
      </c>
      <c r="O24">
        <f>(1-P2)*(1-P3)*(1-P4)</f>
        <v>6.5610000000000016E-2</v>
      </c>
      <c r="P24">
        <f>(1-P2)*(1-P3)*(P4)</f>
        <v>9.6390000000000017E-2</v>
      </c>
      <c r="Q24">
        <f>(1-P2)*P3*(1-P4)</f>
        <v>9.8415000000000002E-2</v>
      </c>
      <c r="R24">
        <f>(1-P2)*P3*P4</f>
        <v>0.14458499999999999</v>
      </c>
      <c r="S24">
        <f>P2*(1-P3)*(1-P4)</f>
        <v>9.6390000000000003E-2</v>
      </c>
      <c r="T24">
        <f>P2*(1-P3)*P4</f>
        <v>0.14160999999999999</v>
      </c>
      <c r="U24">
        <f>P2*P3*(1-P4)</f>
        <v>0.14458499999999999</v>
      </c>
      <c r="V24">
        <f>P2*P3*P4</f>
        <v>0.21241499999999999</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f>(1-e1_)*(1-e2_)*(e3_)</f>
        <v>9.0000000000000011E-2</v>
      </c>
      <c r="C26" s="1" t="s">
        <v>13</v>
      </c>
      <c r="D26" s="4">
        <f t="shared" ref="D26:K33" si="5">row_112*col_112</f>
        <v>3.0410880089567073E-6</v>
      </c>
      <c r="E26" s="4">
        <f t="shared" si="5"/>
        <v>1.7232832050754675E-5</v>
      </c>
      <c r="F26" s="4">
        <f t="shared" si="5"/>
        <v>7.6027200223917683E-7</v>
      </c>
      <c r="G26" s="4">
        <f t="shared" si="5"/>
        <v>4.3082080126886686E-6</v>
      </c>
      <c r="H26" s="4">
        <f t="shared" si="5"/>
        <v>1.0136960029855692E-6</v>
      </c>
      <c r="I26" s="4">
        <f t="shared" si="5"/>
        <v>5.7442773502515582E-6</v>
      </c>
      <c r="J26" s="4">
        <f t="shared" si="5"/>
        <v>2.5342400074639231E-7</v>
      </c>
      <c r="K26" s="4">
        <f t="shared" si="5"/>
        <v>1.4360693375628895E-6</v>
      </c>
      <c r="M26" s="4">
        <f>(1-O2)*(1-O3)*(1-O4)</f>
        <v>6.3990000000000005E-2</v>
      </c>
      <c r="N26" s="1" t="s">
        <v>13</v>
      </c>
      <c r="O26">
        <f t="shared" ref="O26:V33" si="6">row_I*col_I</f>
        <v>4.1983839000000016E-3</v>
      </c>
      <c r="P26">
        <f t="shared" si="6"/>
        <v>6.1679961000000016E-3</v>
      </c>
      <c r="Q26">
        <f t="shared" si="6"/>
        <v>6.2975758500000006E-3</v>
      </c>
      <c r="R26">
        <f t="shared" si="6"/>
        <v>9.2519941499999998E-3</v>
      </c>
      <c r="S26">
        <f t="shared" si="6"/>
        <v>6.1679961000000007E-3</v>
      </c>
      <c r="T26">
        <f t="shared" si="6"/>
        <v>9.0616238999999994E-3</v>
      </c>
      <c r="U26">
        <f t="shared" si="6"/>
        <v>9.2519941499999998E-3</v>
      </c>
      <c r="V26">
        <f t="shared" si="6"/>
        <v>1.3592435850000001E-2</v>
      </c>
      <c r="AC26" s="7"/>
    </row>
    <row r="27" spans="1:29" x14ac:dyDescent="0.25">
      <c r="A27" s="7"/>
      <c r="B27" s="4">
        <f>(1-e1_)*(1-e2_)*(1-e3_)</f>
        <v>0.51</v>
      </c>
      <c r="C27" s="1" t="s">
        <v>14</v>
      </c>
      <c r="D27" s="4">
        <f t="shared" si="5"/>
        <v>1.7232832050754671E-5</v>
      </c>
      <c r="E27" s="4">
        <f t="shared" si="5"/>
        <v>9.7652714954276479E-5</v>
      </c>
      <c r="F27" s="4">
        <f t="shared" si="5"/>
        <v>4.3082080126886678E-6</v>
      </c>
      <c r="G27" s="4">
        <f t="shared" si="5"/>
        <v>2.441317873856912E-5</v>
      </c>
      <c r="H27" s="4">
        <f t="shared" si="5"/>
        <v>5.7442773502515582E-6</v>
      </c>
      <c r="I27" s="4">
        <f t="shared" si="5"/>
        <v>3.2550904984758829E-5</v>
      </c>
      <c r="J27" s="4">
        <f t="shared" si="5"/>
        <v>1.4360693375628895E-6</v>
      </c>
      <c r="K27" s="4">
        <f t="shared" si="5"/>
        <v>8.1377262461897072E-6</v>
      </c>
      <c r="M27" s="4">
        <f>(1-O2)*(1-O3)*O4</f>
        <v>9.5985000000000001E-2</v>
      </c>
      <c r="N27" s="1" t="s">
        <v>14</v>
      </c>
      <c r="O27">
        <f t="shared" si="6"/>
        <v>6.2975758500000015E-3</v>
      </c>
      <c r="P27">
        <f t="shared" si="6"/>
        <v>9.2519941500000015E-3</v>
      </c>
      <c r="Q27">
        <f t="shared" si="6"/>
        <v>9.446363775000001E-3</v>
      </c>
      <c r="R27">
        <f t="shared" si="6"/>
        <v>1.3877991224999999E-2</v>
      </c>
      <c r="S27">
        <f t="shared" si="6"/>
        <v>9.2519941499999998E-3</v>
      </c>
      <c r="T27">
        <f t="shared" si="6"/>
        <v>1.3592435849999999E-2</v>
      </c>
      <c r="U27">
        <f t="shared" si="6"/>
        <v>1.3877991224999999E-2</v>
      </c>
      <c r="V27">
        <f t="shared" si="6"/>
        <v>2.0388653774999998E-2</v>
      </c>
      <c r="AC27" s="7"/>
    </row>
    <row r="28" spans="1:29" x14ac:dyDescent="0.25">
      <c r="A28" s="7"/>
      <c r="B28" s="4">
        <f>(1-e1_)*(e2_)*(e3_)</f>
        <v>2.2500000000000003E-2</v>
      </c>
      <c r="C28" s="1" t="s">
        <v>15</v>
      </c>
      <c r="D28" s="4">
        <f t="shared" si="5"/>
        <v>7.6027200223917683E-7</v>
      </c>
      <c r="E28" s="4">
        <f t="shared" si="5"/>
        <v>4.3082080126886686E-6</v>
      </c>
      <c r="F28" s="4">
        <f t="shared" si="5"/>
        <v>1.9006800055979421E-7</v>
      </c>
      <c r="G28" s="4">
        <f t="shared" si="5"/>
        <v>1.0770520031721672E-6</v>
      </c>
      <c r="H28" s="4">
        <f t="shared" si="5"/>
        <v>2.5342400074639231E-7</v>
      </c>
      <c r="I28" s="4">
        <f t="shared" si="5"/>
        <v>1.4360693375628895E-6</v>
      </c>
      <c r="J28" s="4">
        <f t="shared" si="5"/>
        <v>6.3356000186598078E-8</v>
      </c>
      <c r="K28" s="4">
        <f t="shared" si="5"/>
        <v>3.5901733439072239E-7</v>
      </c>
      <c r="M28" s="4">
        <f>(1-O2)*O3*(1-O4)</f>
        <v>9.8010000000000014E-2</v>
      </c>
      <c r="N28" s="1" t="s">
        <v>15</v>
      </c>
      <c r="O28">
        <f t="shared" si="6"/>
        <v>6.4304361000000025E-3</v>
      </c>
      <c r="P28">
        <f t="shared" si="6"/>
        <v>9.447183900000003E-3</v>
      </c>
      <c r="Q28">
        <f t="shared" si="6"/>
        <v>9.645654150000002E-3</v>
      </c>
      <c r="R28">
        <f t="shared" si="6"/>
        <v>1.4170775850000001E-2</v>
      </c>
      <c r="S28">
        <f t="shared" si="6"/>
        <v>9.4471839000000012E-3</v>
      </c>
      <c r="T28">
        <f t="shared" si="6"/>
        <v>1.3879196100000001E-2</v>
      </c>
      <c r="U28">
        <f t="shared" si="6"/>
        <v>1.4170775850000001E-2</v>
      </c>
      <c r="V28">
        <f t="shared" si="6"/>
        <v>2.0818794150000004E-2</v>
      </c>
      <c r="AC28" s="7"/>
    </row>
    <row r="29" spans="1:29" x14ac:dyDescent="0.25">
      <c r="A29" s="7"/>
      <c r="B29" s="4">
        <f>(1-e1_)*(e2_)*(1-e3_)</f>
        <v>0.1275</v>
      </c>
      <c r="C29" s="1" t="s">
        <v>16</v>
      </c>
      <c r="D29" s="4">
        <f t="shared" si="5"/>
        <v>4.3082080126886678E-6</v>
      </c>
      <c r="E29" s="4">
        <f t="shared" si="5"/>
        <v>2.441317873856912E-5</v>
      </c>
      <c r="F29" s="4">
        <f t="shared" si="5"/>
        <v>1.077052003172167E-6</v>
      </c>
      <c r="G29" s="4">
        <f t="shared" si="5"/>
        <v>6.1032946846422799E-6</v>
      </c>
      <c r="H29" s="4">
        <f t="shared" si="5"/>
        <v>1.4360693375628895E-6</v>
      </c>
      <c r="I29" s="4">
        <f t="shared" si="5"/>
        <v>8.1377262461897072E-6</v>
      </c>
      <c r="J29" s="4">
        <f t="shared" si="5"/>
        <v>3.5901733439072239E-7</v>
      </c>
      <c r="K29" s="4">
        <f t="shared" si="5"/>
        <v>2.0344315615474268E-6</v>
      </c>
      <c r="M29" s="4">
        <f>(1-O2)*O3*O4</f>
        <v>0.14701500000000001</v>
      </c>
      <c r="N29" s="1" t="s">
        <v>16</v>
      </c>
      <c r="O29">
        <f t="shared" si="6"/>
        <v>9.645654150000002E-3</v>
      </c>
      <c r="P29">
        <f t="shared" si="6"/>
        <v>1.4170775850000003E-2</v>
      </c>
      <c r="Q29">
        <f t="shared" si="6"/>
        <v>1.4468481225000001E-2</v>
      </c>
      <c r="R29">
        <f t="shared" si="6"/>
        <v>2.1256163775E-2</v>
      </c>
      <c r="S29">
        <f t="shared" si="6"/>
        <v>1.4170775850000001E-2</v>
      </c>
      <c r="T29">
        <f t="shared" si="6"/>
        <v>2.081879415E-2</v>
      </c>
      <c r="U29">
        <f t="shared" si="6"/>
        <v>2.1256163775E-2</v>
      </c>
      <c r="V29">
        <f t="shared" si="6"/>
        <v>3.1228191225E-2</v>
      </c>
      <c r="AC29" s="7"/>
    </row>
    <row r="30" spans="1:29" x14ac:dyDescent="0.25">
      <c r="A30" s="7"/>
      <c r="B30" s="4">
        <f>(e1_)*(1-e2_)*(e3_)</f>
        <v>0.03</v>
      </c>
      <c r="C30" s="1" t="s">
        <v>17</v>
      </c>
      <c r="D30" s="4">
        <f t="shared" si="5"/>
        <v>1.0136960029855688E-6</v>
      </c>
      <c r="E30" s="4">
        <f t="shared" si="5"/>
        <v>5.7442773502515573E-6</v>
      </c>
      <c r="F30" s="4">
        <f t="shared" si="5"/>
        <v>2.534240007463922E-7</v>
      </c>
      <c r="G30" s="4">
        <f t="shared" si="5"/>
        <v>1.4360693375628893E-6</v>
      </c>
      <c r="H30" s="4">
        <f t="shared" si="5"/>
        <v>3.3789866766185636E-7</v>
      </c>
      <c r="I30" s="4">
        <f t="shared" si="5"/>
        <v>1.9147591167505193E-6</v>
      </c>
      <c r="J30" s="4">
        <f t="shared" si="5"/>
        <v>8.447466691546409E-8</v>
      </c>
      <c r="K30" s="4">
        <f t="shared" si="5"/>
        <v>4.7868977918762981E-7</v>
      </c>
      <c r="M30" s="4">
        <f>O2*(1-O3)*(1-O4)</f>
        <v>9.401000000000001E-2</v>
      </c>
      <c r="N30" s="1" t="s">
        <v>17</v>
      </c>
      <c r="O30">
        <f t="shared" si="6"/>
        <v>6.1679961000000024E-3</v>
      </c>
      <c r="P30">
        <f t="shared" si="6"/>
        <v>9.0616239000000029E-3</v>
      </c>
      <c r="Q30">
        <f t="shared" si="6"/>
        <v>9.2519941500000015E-3</v>
      </c>
      <c r="R30">
        <f t="shared" si="6"/>
        <v>1.3592435850000001E-2</v>
      </c>
      <c r="S30">
        <f t="shared" si="6"/>
        <v>9.0616239000000012E-3</v>
      </c>
      <c r="T30">
        <f t="shared" si="6"/>
        <v>1.33127561E-2</v>
      </c>
      <c r="U30">
        <f t="shared" si="6"/>
        <v>1.3592435850000001E-2</v>
      </c>
      <c r="V30">
        <f t="shared" si="6"/>
        <v>1.9969134150000001E-2</v>
      </c>
      <c r="AC30" s="7"/>
    </row>
    <row r="31" spans="1:29" x14ac:dyDescent="0.25">
      <c r="A31" s="7"/>
      <c r="B31" s="4">
        <f>(e1_)*(1-e2_)*(1-e3_)</f>
        <v>0.17</v>
      </c>
      <c r="C31" s="1" t="s">
        <v>18</v>
      </c>
      <c r="D31" s="4">
        <f t="shared" si="5"/>
        <v>5.7442773502515573E-6</v>
      </c>
      <c r="E31" s="4">
        <f t="shared" si="5"/>
        <v>3.2550904984758829E-5</v>
      </c>
      <c r="F31" s="4">
        <f t="shared" si="5"/>
        <v>1.4360693375628893E-6</v>
      </c>
      <c r="G31" s="4">
        <f t="shared" si="5"/>
        <v>8.1377262461897072E-6</v>
      </c>
      <c r="H31" s="4">
        <f t="shared" si="5"/>
        <v>1.9147591167505197E-6</v>
      </c>
      <c r="I31" s="4">
        <f t="shared" si="5"/>
        <v>1.0850301661586276E-5</v>
      </c>
      <c r="J31" s="4">
        <f t="shared" si="5"/>
        <v>4.7868977918762992E-7</v>
      </c>
      <c r="K31" s="4">
        <f t="shared" si="5"/>
        <v>2.7125754153965689E-6</v>
      </c>
      <c r="M31" s="4">
        <f>O2*(1-O3)*O4</f>
        <v>0.141015</v>
      </c>
      <c r="N31" s="1" t="s">
        <v>18</v>
      </c>
      <c r="O31">
        <f t="shared" si="6"/>
        <v>9.2519941500000015E-3</v>
      </c>
      <c r="P31">
        <f t="shared" si="6"/>
        <v>1.3592435850000003E-2</v>
      </c>
      <c r="Q31">
        <f t="shared" si="6"/>
        <v>1.3877991225000001E-2</v>
      </c>
      <c r="R31">
        <f t="shared" si="6"/>
        <v>2.0388653774999998E-2</v>
      </c>
      <c r="S31">
        <f t="shared" si="6"/>
        <v>1.3592435850000001E-2</v>
      </c>
      <c r="T31">
        <f t="shared" si="6"/>
        <v>1.9969134149999998E-2</v>
      </c>
      <c r="U31">
        <f t="shared" si="6"/>
        <v>2.0388653774999998E-2</v>
      </c>
      <c r="V31">
        <f t="shared" si="6"/>
        <v>2.9953701225000001E-2</v>
      </c>
      <c r="AC31" s="7"/>
    </row>
    <row r="32" spans="1:29" x14ac:dyDescent="0.25">
      <c r="A32" s="7"/>
      <c r="B32" s="4">
        <f>(e1_)*(e2_)*(e3_)</f>
        <v>7.4999999999999997E-3</v>
      </c>
      <c r="C32" s="1" t="s">
        <v>19</v>
      </c>
      <c r="D32" s="4">
        <f t="shared" si="5"/>
        <v>2.534240007463922E-7</v>
      </c>
      <c r="E32" s="4">
        <f t="shared" si="5"/>
        <v>1.4360693375628893E-6</v>
      </c>
      <c r="F32" s="4">
        <f t="shared" si="5"/>
        <v>6.3356000186598051E-8</v>
      </c>
      <c r="G32" s="4">
        <f t="shared" si="5"/>
        <v>3.5901733439072233E-7</v>
      </c>
      <c r="H32" s="4">
        <f t="shared" si="5"/>
        <v>8.447466691546409E-8</v>
      </c>
      <c r="I32" s="4">
        <f t="shared" si="5"/>
        <v>4.7868977918762981E-7</v>
      </c>
      <c r="J32" s="4">
        <f t="shared" si="5"/>
        <v>2.1118666728866023E-8</v>
      </c>
      <c r="K32" s="4">
        <f t="shared" si="5"/>
        <v>1.1967244479690745E-7</v>
      </c>
      <c r="M32" s="4">
        <f>O2*O3*(1-O4)</f>
        <v>0.14399000000000001</v>
      </c>
      <c r="N32" s="1" t="s">
        <v>19</v>
      </c>
      <c r="O32">
        <f t="shared" si="6"/>
        <v>9.447183900000003E-3</v>
      </c>
      <c r="P32">
        <f t="shared" si="6"/>
        <v>1.3879196100000003E-2</v>
      </c>
      <c r="Q32">
        <f t="shared" si="6"/>
        <v>1.4170775850000001E-2</v>
      </c>
      <c r="R32">
        <f t="shared" si="6"/>
        <v>2.081879415E-2</v>
      </c>
      <c r="S32">
        <f t="shared" si="6"/>
        <v>1.3879196100000001E-2</v>
      </c>
      <c r="T32">
        <f t="shared" si="6"/>
        <v>2.0390423899999999E-2</v>
      </c>
      <c r="U32">
        <f t="shared" si="6"/>
        <v>2.081879415E-2</v>
      </c>
      <c r="V32">
        <f t="shared" si="6"/>
        <v>3.0585635850000001E-2</v>
      </c>
      <c r="AC32" s="7"/>
    </row>
    <row r="33" spans="1:29" x14ac:dyDescent="0.25">
      <c r="A33" s="7"/>
      <c r="B33" s="4">
        <f>(e1_)*(e2_)*(1-e3_)</f>
        <v>4.2500000000000003E-2</v>
      </c>
      <c r="C33" s="1" t="s">
        <v>20</v>
      </c>
      <c r="D33" s="4">
        <f t="shared" si="5"/>
        <v>1.4360693375628893E-6</v>
      </c>
      <c r="E33" s="4">
        <f t="shared" si="5"/>
        <v>8.1377262461897072E-6</v>
      </c>
      <c r="F33" s="4">
        <f t="shared" si="5"/>
        <v>3.5901733439072233E-7</v>
      </c>
      <c r="G33" s="4">
        <f t="shared" si="5"/>
        <v>2.0344315615474268E-6</v>
      </c>
      <c r="H33" s="4">
        <f t="shared" si="5"/>
        <v>4.7868977918762992E-7</v>
      </c>
      <c r="I33" s="4">
        <f t="shared" si="5"/>
        <v>2.7125754153965689E-6</v>
      </c>
      <c r="J33" s="4">
        <f t="shared" si="5"/>
        <v>1.1967244479690748E-7</v>
      </c>
      <c r="K33" s="4">
        <f t="shared" si="5"/>
        <v>6.7814385384914223E-7</v>
      </c>
      <c r="M33" s="4">
        <f>O2*O3*O4</f>
        <v>0.21598499999999998</v>
      </c>
      <c r="N33" s="1" t="s">
        <v>20</v>
      </c>
      <c r="O33">
        <f t="shared" si="6"/>
        <v>1.4170775850000003E-2</v>
      </c>
      <c r="P33">
        <f t="shared" si="6"/>
        <v>2.0818794150000004E-2</v>
      </c>
      <c r="Q33">
        <f t="shared" si="6"/>
        <v>2.1256163775E-2</v>
      </c>
      <c r="R33">
        <f t="shared" si="6"/>
        <v>3.1228191224999997E-2</v>
      </c>
      <c r="S33">
        <f t="shared" si="6"/>
        <v>2.081879415E-2</v>
      </c>
      <c r="T33">
        <f t="shared" si="6"/>
        <v>3.0585635849999994E-2</v>
      </c>
      <c r="U33">
        <f t="shared" si="6"/>
        <v>3.1228191224999997E-2</v>
      </c>
      <c r="V33">
        <f t="shared" si="6"/>
        <v>4.5878453774999994E-2</v>
      </c>
      <c r="AC33" s="7"/>
    </row>
    <row r="34" spans="1:29" x14ac:dyDescent="0.25">
      <c r="A34" s="7"/>
      <c r="X34" t="s">
        <v>95</v>
      </c>
      <c r="AC34" s="7"/>
    </row>
    <row r="35" spans="1:29" x14ac:dyDescent="0.25">
      <c r="A35" s="7"/>
      <c r="C35" s="1" t="s">
        <v>27</v>
      </c>
      <c r="D35" s="4">
        <f>p_121*(1-ep1_)*(ep2_)*(1-ep3_)</f>
        <v>2.7866026031885781E-5</v>
      </c>
      <c r="E35" s="4">
        <f>p_121*(1-ep1_)*(ep2_)*(ep3_)</f>
        <v>4.9175340056269021E-6</v>
      </c>
      <c r="F35" s="4">
        <f>p_121*(1-ep1_)*(1-ep2_)*(1-ep3_)</f>
        <v>1.1146410412754312E-4</v>
      </c>
      <c r="G35" s="4">
        <f>p_121*(1-ep1_)*(1-ep2_)*(ep3_)</f>
        <v>1.9670136022507609E-5</v>
      </c>
      <c r="H35" s="4">
        <f>p_121*(ep1_)*(ep2_)*(1-ep3_)</f>
        <v>9.2886753439619276E-6</v>
      </c>
      <c r="I35" s="4">
        <f>p_121*(ep1_)*(ep2_)*(ep3_)</f>
        <v>1.6391780018756343E-6</v>
      </c>
      <c r="J35" s="4">
        <f>p_121*(ep1_)*(1-ep2_)*(1-ep3_)</f>
        <v>3.715470137584771E-5</v>
      </c>
      <c r="K35" s="4">
        <f>p_121*(ep1_)*(1-ep2_)*(ep3_)</f>
        <v>6.5567120075025373E-6</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f>(1-e1_)*(e2_)*(1-e3_)</f>
        <v>0.1275</v>
      </c>
      <c r="C37" s="1" t="s">
        <v>13</v>
      </c>
      <c r="D37" s="4">
        <f t="shared" ref="D37:K44" si="7">row_121*col_121</f>
        <v>3.5529183190654371E-6</v>
      </c>
      <c r="E37" s="4">
        <f t="shared" si="7"/>
        <v>6.2698558571743003E-7</v>
      </c>
      <c r="F37" s="4">
        <f t="shared" si="7"/>
        <v>1.4211673276261748E-5</v>
      </c>
      <c r="G37" s="4">
        <f t="shared" si="7"/>
        <v>2.5079423428697201E-6</v>
      </c>
      <c r="H37" s="4">
        <f t="shared" si="7"/>
        <v>1.1843061063551458E-6</v>
      </c>
      <c r="I37" s="4">
        <f t="shared" si="7"/>
        <v>2.0899519523914339E-7</v>
      </c>
      <c r="J37" s="4">
        <f t="shared" si="7"/>
        <v>4.7372244254205833E-6</v>
      </c>
      <c r="K37" s="4">
        <f t="shared" si="7"/>
        <v>8.3598078095657355E-7</v>
      </c>
      <c r="N37" s="1" t="s">
        <v>13</v>
      </c>
      <c r="O37" s="5">
        <f>$L$12*O26</f>
        <v>0.83967678000000034</v>
      </c>
      <c r="P37" s="5">
        <f t="shared" ref="P37:V37" si="8">$L$12*P26</f>
        <v>1.2335992200000003</v>
      </c>
      <c r="Q37" s="5">
        <f t="shared" si="8"/>
        <v>1.2595151700000002</v>
      </c>
      <c r="R37" s="5">
        <f t="shared" si="8"/>
        <v>1.85039883</v>
      </c>
      <c r="S37" s="5">
        <f t="shared" si="8"/>
        <v>1.2335992200000001</v>
      </c>
      <c r="T37" s="5">
        <f t="shared" si="8"/>
        <v>1.81232478</v>
      </c>
      <c r="U37" s="5">
        <f t="shared" si="8"/>
        <v>1.85039883</v>
      </c>
      <c r="V37" s="5">
        <f t="shared" si="8"/>
        <v>2.7184871700000004</v>
      </c>
      <c r="X37">
        <f>SUM(O37:W37)</f>
        <v>12.798000000000002</v>
      </c>
      <c r="Y37">
        <f>O37</f>
        <v>0.83967678000000034</v>
      </c>
      <c r="Z37">
        <f>X37-Y37</f>
        <v>11.958323220000002</v>
      </c>
      <c r="AA37">
        <f>POWER(AA4-Y37,2)/Y37</f>
        <v>311.01973139577711</v>
      </c>
      <c r="AB37">
        <f>POWER(AB4-Z37,2)/Z37</f>
        <v>4.1465020606786309</v>
      </c>
      <c r="AC37" s="7"/>
    </row>
    <row r="38" spans="1:29" x14ac:dyDescent="0.25">
      <c r="A38" s="7"/>
      <c r="B38" s="4">
        <f>(1-e1_)*(e2_)*(e3_)</f>
        <v>2.2500000000000003E-2</v>
      </c>
      <c r="C38" s="1" t="s">
        <v>14</v>
      </c>
      <c r="D38" s="4">
        <f t="shared" si="7"/>
        <v>6.2698558571743013E-7</v>
      </c>
      <c r="E38" s="4">
        <f t="shared" si="7"/>
        <v>1.1064451512660531E-7</v>
      </c>
      <c r="F38" s="4">
        <f t="shared" si="7"/>
        <v>2.5079423428697205E-6</v>
      </c>
      <c r="G38" s="4">
        <f t="shared" si="7"/>
        <v>4.4257806050642124E-7</v>
      </c>
      <c r="H38" s="4">
        <f t="shared" si="7"/>
        <v>2.0899519523914339E-7</v>
      </c>
      <c r="I38" s="4">
        <f t="shared" si="7"/>
        <v>3.6881505042201779E-8</v>
      </c>
      <c r="J38" s="4">
        <f t="shared" si="7"/>
        <v>8.3598078095657355E-7</v>
      </c>
      <c r="K38" s="4">
        <f t="shared" si="7"/>
        <v>1.4752602016880712E-7</v>
      </c>
      <c r="N38" s="1" t="s">
        <v>14</v>
      </c>
      <c r="O38" s="5">
        <f t="shared" ref="O38:V44" si="9">$L$12*O27</f>
        <v>1.2595151700000002</v>
      </c>
      <c r="P38" s="5">
        <f t="shared" si="9"/>
        <v>1.8503988300000003</v>
      </c>
      <c r="Q38" s="5">
        <f t="shared" si="9"/>
        <v>1.8892727550000001</v>
      </c>
      <c r="R38" s="5">
        <f t="shared" si="9"/>
        <v>2.7755982449999999</v>
      </c>
      <c r="S38" s="5">
        <f t="shared" si="9"/>
        <v>1.85039883</v>
      </c>
      <c r="T38" s="5">
        <f t="shared" si="9"/>
        <v>2.71848717</v>
      </c>
      <c r="U38" s="5">
        <f t="shared" si="9"/>
        <v>2.7755982449999999</v>
      </c>
      <c r="V38" s="5">
        <f t="shared" si="9"/>
        <v>4.0777307549999993</v>
      </c>
      <c r="X38">
        <f t="shared" ref="X38:X44" si="10">SUM(O38:W38)</f>
        <v>19.196999999999999</v>
      </c>
      <c r="Y38">
        <f>P38</f>
        <v>1.8503988300000003</v>
      </c>
      <c r="Z38">
        <f t="shared" ref="Z38:Z44" si="11">X38-Y38</f>
        <v>17.34660117</v>
      </c>
      <c r="AA38">
        <f t="shared" ref="AA38:AB44" si="12">POWER(AA5-Y38,2)/Y38</f>
        <v>0.39082286388246862</v>
      </c>
      <c r="AB38">
        <f t="shared" si="12"/>
        <v>5.0360847393048909</v>
      </c>
      <c r="AC38" s="7"/>
    </row>
    <row r="39" spans="1:29" x14ac:dyDescent="0.25">
      <c r="A39" s="7"/>
      <c r="B39" s="4">
        <f>(1-e1_)*(1-e2_)*(1-e3_)</f>
        <v>0.51</v>
      </c>
      <c r="C39" s="1" t="s">
        <v>15</v>
      </c>
      <c r="D39" s="4">
        <f t="shared" si="7"/>
        <v>1.4211673276261748E-5</v>
      </c>
      <c r="E39" s="4">
        <f t="shared" si="7"/>
        <v>2.5079423428697201E-6</v>
      </c>
      <c r="F39" s="4">
        <f t="shared" si="7"/>
        <v>5.6846693105046993E-5</v>
      </c>
      <c r="G39" s="4">
        <f t="shared" si="7"/>
        <v>1.003176937147888E-5</v>
      </c>
      <c r="H39" s="4">
        <f t="shared" si="7"/>
        <v>4.7372244254205833E-6</v>
      </c>
      <c r="I39" s="4">
        <f t="shared" si="7"/>
        <v>8.3598078095657355E-7</v>
      </c>
      <c r="J39" s="4">
        <f t="shared" si="7"/>
        <v>1.8948897701682333E-5</v>
      </c>
      <c r="K39" s="4">
        <f t="shared" si="7"/>
        <v>3.3439231238262942E-6</v>
      </c>
      <c r="N39" s="1" t="s">
        <v>15</v>
      </c>
      <c r="O39" s="5">
        <f t="shared" si="9"/>
        <v>1.2860872200000004</v>
      </c>
      <c r="P39" s="5">
        <f t="shared" si="9"/>
        <v>1.8894367800000005</v>
      </c>
      <c r="Q39" s="5">
        <f t="shared" si="9"/>
        <v>1.9291308300000005</v>
      </c>
      <c r="R39" s="5">
        <f t="shared" si="9"/>
        <v>2.8341551700000003</v>
      </c>
      <c r="S39" s="5">
        <f t="shared" si="9"/>
        <v>1.8894367800000003</v>
      </c>
      <c r="T39" s="5">
        <f t="shared" si="9"/>
        <v>2.7758392200000004</v>
      </c>
      <c r="U39" s="5">
        <f t="shared" si="9"/>
        <v>2.8341551700000003</v>
      </c>
      <c r="V39" s="5">
        <f t="shared" si="9"/>
        <v>4.1637588300000008</v>
      </c>
      <c r="X39">
        <f t="shared" si="10"/>
        <v>19.602000000000004</v>
      </c>
      <c r="Y39">
        <f>Q39</f>
        <v>1.9291308300000005</v>
      </c>
      <c r="Z39">
        <f t="shared" si="11"/>
        <v>17.672869170000002</v>
      </c>
      <c r="AA39">
        <f t="shared" si="12"/>
        <v>1.9291308300000005</v>
      </c>
      <c r="AB39">
        <f t="shared" si="12"/>
        <v>1.2355495912912087</v>
      </c>
      <c r="AC39" s="7"/>
    </row>
    <row r="40" spans="1:29" x14ac:dyDescent="0.25">
      <c r="A40" s="7"/>
      <c r="B40" s="4">
        <f>(1-e1_)*(1-e2_)*(e3_)</f>
        <v>9.0000000000000011E-2</v>
      </c>
      <c r="C40" s="1" t="s">
        <v>16</v>
      </c>
      <c r="D40" s="4">
        <f t="shared" si="7"/>
        <v>2.5079423428697205E-6</v>
      </c>
      <c r="E40" s="4">
        <f t="shared" si="7"/>
        <v>4.4257806050642124E-7</v>
      </c>
      <c r="F40" s="4">
        <f t="shared" si="7"/>
        <v>1.0031769371478882E-5</v>
      </c>
      <c r="G40" s="4">
        <f t="shared" si="7"/>
        <v>1.770312242025685E-6</v>
      </c>
      <c r="H40" s="4">
        <f t="shared" si="7"/>
        <v>8.3598078095657355E-7</v>
      </c>
      <c r="I40" s="4">
        <f t="shared" si="7"/>
        <v>1.4752602016880712E-7</v>
      </c>
      <c r="J40" s="4">
        <f t="shared" si="7"/>
        <v>3.3439231238262942E-6</v>
      </c>
      <c r="K40" s="4">
        <f t="shared" si="7"/>
        <v>5.9010408067522846E-7</v>
      </c>
      <c r="N40" s="1" t="s">
        <v>16</v>
      </c>
      <c r="O40" s="5">
        <f t="shared" si="9"/>
        <v>1.9291308300000005</v>
      </c>
      <c r="P40" s="5">
        <f t="shared" si="9"/>
        <v>2.8341551700000007</v>
      </c>
      <c r="Q40" s="5">
        <f t="shared" si="9"/>
        <v>2.8936962450000001</v>
      </c>
      <c r="R40" s="5">
        <f t="shared" si="9"/>
        <v>4.2512327550000002</v>
      </c>
      <c r="S40" s="5">
        <f t="shared" si="9"/>
        <v>2.8341551700000003</v>
      </c>
      <c r="T40" s="5">
        <f t="shared" si="9"/>
        <v>4.1637588299999999</v>
      </c>
      <c r="U40" s="5">
        <f t="shared" si="9"/>
        <v>4.2512327550000002</v>
      </c>
      <c r="V40" s="5">
        <f t="shared" si="9"/>
        <v>6.2456382450000003</v>
      </c>
      <c r="X40">
        <f t="shared" si="10"/>
        <v>29.403000000000006</v>
      </c>
      <c r="Y40">
        <f>R40</f>
        <v>4.2512327550000002</v>
      </c>
      <c r="Z40">
        <f t="shared" si="11"/>
        <v>25.151767245000006</v>
      </c>
      <c r="AA40">
        <f t="shared" si="12"/>
        <v>0.36826574723380218</v>
      </c>
      <c r="AB40">
        <f t="shared" si="12"/>
        <v>1.055222302597089</v>
      </c>
      <c r="AC40" s="7"/>
    </row>
    <row r="41" spans="1:29" x14ac:dyDescent="0.25">
      <c r="A41" s="7"/>
      <c r="B41" s="4">
        <f>(e1_)*(e2_)*(1-e3_)</f>
        <v>4.2500000000000003E-2</v>
      </c>
      <c r="C41" s="1" t="s">
        <v>17</v>
      </c>
      <c r="D41" s="4">
        <f t="shared" si="7"/>
        <v>1.1843061063551458E-6</v>
      </c>
      <c r="E41" s="4">
        <f t="shared" si="7"/>
        <v>2.0899519523914336E-7</v>
      </c>
      <c r="F41" s="4">
        <f t="shared" si="7"/>
        <v>4.7372244254205833E-6</v>
      </c>
      <c r="G41" s="4">
        <f t="shared" si="7"/>
        <v>8.3598078095657344E-7</v>
      </c>
      <c r="H41" s="4">
        <f t="shared" si="7"/>
        <v>3.9476870211838194E-7</v>
      </c>
      <c r="I41" s="4">
        <f t="shared" si="7"/>
        <v>6.9665065079714462E-8</v>
      </c>
      <c r="J41" s="4">
        <f t="shared" si="7"/>
        <v>1.5790748084735278E-6</v>
      </c>
      <c r="K41" s="4">
        <f t="shared" si="7"/>
        <v>2.7866026031885785E-7</v>
      </c>
      <c r="N41" s="1" t="s">
        <v>17</v>
      </c>
      <c r="O41" s="5">
        <f t="shared" si="9"/>
        <v>1.2335992200000006</v>
      </c>
      <c r="P41" s="5">
        <f t="shared" si="9"/>
        <v>1.8123247800000006</v>
      </c>
      <c r="Q41" s="5">
        <f t="shared" si="9"/>
        <v>1.8503988300000003</v>
      </c>
      <c r="R41" s="5">
        <f t="shared" si="9"/>
        <v>2.7184871700000004</v>
      </c>
      <c r="S41" s="5">
        <f t="shared" si="9"/>
        <v>1.8123247800000002</v>
      </c>
      <c r="T41" s="5">
        <f t="shared" si="9"/>
        <v>2.6625512200000001</v>
      </c>
      <c r="U41" s="5">
        <f t="shared" si="9"/>
        <v>2.7184871700000004</v>
      </c>
      <c r="V41" s="5">
        <f t="shared" si="9"/>
        <v>3.9938268300000002</v>
      </c>
      <c r="X41">
        <f t="shared" si="10"/>
        <v>18.802000000000003</v>
      </c>
      <c r="Y41">
        <f>S41</f>
        <v>1.8123247800000002</v>
      </c>
      <c r="Z41">
        <f t="shared" si="11"/>
        <v>16.989675220000002</v>
      </c>
      <c r="AA41">
        <f t="shared" si="12"/>
        <v>1.9434699889745104E-2</v>
      </c>
      <c r="AB41">
        <f t="shared" si="12"/>
        <v>0.9368930338553032</v>
      </c>
      <c r="AC41" s="7"/>
    </row>
    <row r="42" spans="1:29" x14ac:dyDescent="0.25">
      <c r="A42" s="7"/>
      <c r="B42" s="4">
        <f>(e1_)*(e2_)*(e3_)</f>
        <v>7.4999999999999997E-3</v>
      </c>
      <c r="C42" s="1" t="s">
        <v>18</v>
      </c>
      <c r="D42" s="4">
        <f t="shared" si="7"/>
        <v>2.0899519523914336E-7</v>
      </c>
      <c r="E42" s="4">
        <f t="shared" si="7"/>
        <v>3.6881505042201766E-8</v>
      </c>
      <c r="F42" s="4">
        <f t="shared" si="7"/>
        <v>8.3598078095657344E-7</v>
      </c>
      <c r="G42" s="4">
        <f t="shared" si="7"/>
        <v>1.4752602016880706E-7</v>
      </c>
      <c r="H42" s="4">
        <f t="shared" si="7"/>
        <v>6.9665065079714449E-8</v>
      </c>
      <c r="I42" s="4">
        <f t="shared" si="7"/>
        <v>1.2293835014067256E-8</v>
      </c>
      <c r="J42" s="4">
        <f t="shared" si="7"/>
        <v>2.786602603188578E-7</v>
      </c>
      <c r="K42" s="4">
        <f t="shared" si="7"/>
        <v>4.9175340056269025E-8</v>
      </c>
      <c r="N42" s="1" t="s">
        <v>18</v>
      </c>
      <c r="O42" s="5">
        <f t="shared" si="9"/>
        <v>1.8503988300000003</v>
      </c>
      <c r="P42" s="5">
        <f t="shared" si="9"/>
        <v>2.7184871700000004</v>
      </c>
      <c r="Q42" s="5">
        <f t="shared" si="9"/>
        <v>2.7755982450000003</v>
      </c>
      <c r="R42" s="5">
        <f t="shared" si="9"/>
        <v>4.0777307549999993</v>
      </c>
      <c r="S42" s="5">
        <f t="shared" si="9"/>
        <v>2.7184871700000004</v>
      </c>
      <c r="T42" s="5">
        <f t="shared" si="9"/>
        <v>3.9938268299999997</v>
      </c>
      <c r="U42" s="5">
        <f t="shared" si="9"/>
        <v>4.0777307549999993</v>
      </c>
      <c r="V42" s="5">
        <f t="shared" si="9"/>
        <v>5.9907402450000005</v>
      </c>
      <c r="X42">
        <f t="shared" si="10"/>
        <v>28.202999999999999</v>
      </c>
      <c r="Y42">
        <f>T42</f>
        <v>3.9938268299999997</v>
      </c>
      <c r="Z42">
        <f t="shared" si="11"/>
        <v>24.20917317</v>
      </c>
      <c r="AA42">
        <f t="shared" si="12"/>
        <v>0.99537250793316145</v>
      </c>
      <c r="AB42">
        <f t="shared" si="12"/>
        <v>2.1467968951311294</v>
      </c>
      <c r="AC42" s="7"/>
    </row>
    <row r="43" spans="1:29" x14ac:dyDescent="0.25">
      <c r="A43" s="7"/>
      <c r="B43" s="4">
        <f>(e1_)*(1-e2_)*(1-e3_)</f>
        <v>0.17</v>
      </c>
      <c r="C43" s="1" t="s">
        <v>19</v>
      </c>
      <c r="D43" s="4">
        <f t="shared" si="7"/>
        <v>4.7372244254205833E-6</v>
      </c>
      <c r="E43" s="4">
        <f t="shared" si="7"/>
        <v>8.3598078095657344E-7</v>
      </c>
      <c r="F43" s="4">
        <f t="shared" si="7"/>
        <v>1.8948897701682333E-5</v>
      </c>
      <c r="G43" s="4">
        <f t="shared" si="7"/>
        <v>3.3439231238262938E-6</v>
      </c>
      <c r="H43" s="4">
        <f t="shared" si="7"/>
        <v>1.5790748084735278E-6</v>
      </c>
      <c r="I43" s="4">
        <f t="shared" si="7"/>
        <v>2.7866026031885785E-7</v>
      </c>
      <c r="J43" s="4">
        <f t="shared" si="7"/>
        <v>6.3162992338941111E-6</v>
      </c>
      <c r="K43" s="4">
        <f t="shared" si="7"/>
        <v>1.1146410412754314E-6</v>
      </c>
      <c r="N43" s="1" t="s">
        <v>19</v>
      </c>
      <c r="O43" s="5">
        <f t="shared" si="9"/>
        <v>1.8894367800000005</v>
      </c>
      <c r="P43" s="5">
        <f t="shared" si="9"/>
        <v>2.7758392200000004</v>
      </c>
      <c r="Q43" s="5">
        <f t="shared" si="9"/>
        <v>2.8341551700000003</v>
      </c>
      <c r="R43" s="5">
        <f t="shared" si="9"/>
        <v>4.1637588299999999</v>
      </c>
      <c r="S43" s="5">
        <f t="shared" si="9"/>
        <v>2.7758392200000004</v>
      </c>
      <c r="T43" s="5">
        <f t="shared" si="9"/>
        <v>4.0780847800000002</v>
      </c>
      <c r="U43" s="5">
        <f t="shared" si="9"/>
        <v>4.1637588299999999</v>
      </c>
      <c r="V43" s="5">
        <f t="shared" si="9"/>
        <v>6.1171271699999998</v>
      </c>
      <c r="X43">
        <f t="shared" si="10"/>
        <v>28.797999999999998</v>
      </c>
      <c r="Y43">
        <f>U43</f>
        <v>4.1637588299999999</v>
      </c>
      <c r="Z43">
        <f t="shared" si="11"/>
        <v>24.634241169999999</v>
      </c>
      <c r="AA43">
        <f t="shared" si="12"/>
        <v>1.124429263450633</v>
      </c>
      <c r="AB43">
        <f t="shared" si="12"/>
        <v>4.590646185580189</v>
      </c>
      <c r="AC43" s="7"/>
    </row>
    <row r="44" spans="1:29" x14ac:dyDescent="0.25">
      <c r="A44" s="7"/>
      <c r="B44" s="4">
        <f>(e1_)*(1-e2_)*(e3_)</f>
        <v>0.03</v>
      </c>
      <c r="C44" s="1" t="s">
        <v>20</v>
      </c>
      <c r="D44" s="4">
        <f t="shared" si="7"/>
        <v>8.3598078095657344E-7</v>
      </c>
      <c r="E44" s="4">
        <f t="shared" si="7"/>
        <v>1.4752602016880706E-7</v>
      </c>
      <c r="F44" s="4">
        <f t="shared" si="7"/>
        <v>3.3439231238262938E-6</v>
      </c>
      <c r="G44" s="4">
        <f t="shared" si="7"/>
        <v>5.9010408067522825E-7</v>
      </c>
      <c r="H44" s="4">
        <f t="shared" si="7"/>
        <v>2.786602603188578E-7</v>
      </c>
      <c r="I44" s="4">
        <f t="shared" si="7"/>
        <v>4.9175340056269025E-8</v>
      </c>
      <c r="J44" s="4">
        <f t="shared" si="7"/>
        <v>1.1146410412754312E-6</v>
      </c>
      <c r="K44" s="4">
        <f t="shared" si="7"/>
        <v>1.967013602250761E-7</v>
      </c>
      <c r="N44" s="1" t="s">
        <v>20</v>
      </c>
      <c r="O44" s="5">
        <f t="shared" si="9"/>
        <v>2.8341551700000007</v>
      </c>
      <c r="P44" s="5">
        <f t="shared" si="9"/>
        <v>4.1637588300000008</v>
      </c>
      <c r="Q44" s="5">
        <f t="shared" si="9"/>
        <v>4.2512327550000002</v>
      </c>
      <c r="R44" s="5">
        <f t="shared" si="9"/>
        <v>6.2456382449999994</v>
      </c>
      <c r="S44" s="5">
        <f t="shared" si="9"/>
        <v>4.1637588299999999</v>
      </c>
      <c r="T44" s="5">
        <f t="shared" si="9"/>
        <v>6.1171271699999989</v>
      </c>
      <c r="U44" s="5">
        <f t="shared" si="9"/>
        <v>6.2456382449999994</v>
      </c>
      <c r="V44" s="5">
        <f t="shared" si="9"/>
        <v>9.175690754999998</v>
      </c>
      <c r="X44">
        <f t="shared" si="10"/>
        <v>43.196999999999996</v>
      </c>
      <c r="Y44">
        <f>V44</f>
        <v>9.175690754999998</v>
      </c>
      <c r="Z44">
        <f t="shared" si="11"/>
        <v>34.021309244999998</v>
      </c>
      <c r="AA44">
        <f t="shared" si="12"/>
        <v>78.418463054598959</v>
      </c>
      <c r="AB44">
        <f t="shared" si="12"/>
        <v>3.0659389572897232E-2</v>
      </c>
      <c r="AC44" s="7"/>
    </row>
    <row r="45" spans="1:29" x14ac:dyDescent="0.25">
      <c r="A45" s="7"/>
      <c r="X45" s="9">
        <f>SUM(X37:X44)</f>
        <v>200.00000000000003</v>
      </c>
      <c r="Y45" s="9">
        <f>SUM(Y37:Y44)</f>
        <v>28.016040390000001</v>
      </c>
      <c r="Z45" s="9">
        <f>SUM(Z37:Z44)</f>
        <v>171.98395961000003</v>
      </c>
      <c r="AA45" s="9">
        <f>SUM(AA37:AA44)</f>
        <v>394.26565036276588</v>
      </c>
      <c r="AB45" s="9">
        <f>SUM(AB37:AB44)</f>
        <v>19.178354198011341</v>
      </c>
      <c r="AC45" s="7"/>
    </row>
    <row r="46" spans="1:29" x14ac:dyDescent="0.25">
      <c r="A46" s="7"/>
      <c r="C46" s="1" t="s">
        <v>28</v>
      </c>
      <c r="D46" s="4">
        <f>p_122*(1-ep1_)*(ep2_)*(ep3_)</f>
        <v>0</v>
      </c>
      <c r="E46" s="4">
        <f>p_122*(1-ep1_)*(ep2_)*(1-ep3_)</f>
        <v>0</v>
      </c>
      <c r="F46" s="4">
        <f>p_122*(1-ep1_)*(1-ep2_)*(ep3_)</f>
        <v>0</v>
      </c>
      <c r="G46" s="4">
        <f>p_122*(1-ep1_)*(1-ep2_)*(1-ep3_)</f>
        <v>0</v>
      </c>
      <c r="H46" s="4">
        <f>p_122*(ep1_)*(ep2_)*(ep3_)</f>
        <v>0</v>
      </c>
      <c r="I46" s="4">
        <f>p_122*(ep1_)*(ep2_)*(1-ep3_)</f>
        <v>0</v>
      </c>
      <c r="J46" s="4">
        <f>p_122*(ep1_)*(1-ep2_)*(ep3_)</f>
        <v>0</v>
      </c>
      <c r="K46" s="4">
        <f>p_122*(ep1_)*(1-ep2_)*(1-ep3_)</f>
        <v>0</v>
      </c>
      <c r="P46" t="s">
        <v>70</v>
      </c>
      <c r="AB46" s="22">
        <f>AA45+AB45</f>
        <v>413.44400456077722</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f>(1-e1_)*(e2_)*(e3_)</f>
        <v>2.2500000000000003E-2</v>
      </c>
      <c r="C48" s="1" t="s">
        <v>13</v>
      </c>
      <c r="D48" s="4">
        <f t="shared" ref="D48:K55" si="13">row_122*col_122</f>
        <v>0</v>
      </c>
      <c r="E48" s="4">
        <f t="shared" si="13"/>
        <v>0</v>
      </c>
      <c r="F48" s="4">
        <f t="shared" si="13"/>
        <v>0</v>
      </c>
      <c r="G48" s="4">
        <f t="shared" si="13"/>
        <v>0</v>
      </c>
      <c r="H48" s="4">
        <f t="shared" si="13"/>
        <v>0</v>
      </c>
      <c r="I48" s="4">
        <f t="shared" si="13"/>
        <v>0</v>
      </c>
      <c r="J48" s="4">
        <f t="shared" si="13"/>
        <v>0</v>
      </c>
      <c r="K48" s="4">
        <f t="shared" si="13"/>
        <v>0</v>
      </c>
      <c r="N48" s="1" t="s">
        <v>13</v>
      </c>
      <c r="O48">
        <f>POWER(D4-O37,2)/O37</f>
        <v>311.01973139577711</v>
      </c>
      <c r="P48">
        <f t="shared" ref="P48:V55" si="14">POWER(E4-P37,2)/P37</f>
        <v>2.5293236774133225</v>
      </c>
      <c r="Q48">
        <f t="shared" si="14"/>
        <v>5.9628159170644421</v>
      </c>
      <c r="R48">
        <f t="shared" si="14"/>
        <v>0.39082286388246851</v>
      </c>
      <c r="S48">
        <f t="shared" si="14"/>
        <v>18.416497049653294</v>
      </c>
      <c r="T48">
        <f t="shared" si="14"/>
        <v>0.36410225997243623</v>
      </c>
      <c r="U48">
        <f t="shared" si="14"/>
        <v>1.2094965529873842E-2</v>
      </c>
      <c r="V48">
        <f t="shared" si="14"/>
        <v>0.18989378325983028</v>
      </c>
      <c r="W48" s="7">
        <f>SUM(O48:V48)</f>
        <v>338.88528191255278</v>
      </c>
      <c r="Z48" t="s">
        <v>67</v>
      </c>
      <c r="AC48" s="7"/>
    </row>
    <row r="49" spans="1:29" x14ac:dyDescent="0.25">
      <c r="A49" s="7"/>
      <c r="B49" s="4">
        <f>(1-e1_)*(e2_)*(1-e3_)</f>
        <v>0.1275</v>
      </c>
      <c r="C49" s="1" t="s">
        <v>14</v>
      </c>
      <c r="D49" s="4">
        <f t="shared" si="13"/>
        <v>0</v>
      </c>
      <c r="E49" s="4">
        <f t="shared" si="13"/>
        <v>0</v>
      </c>
      <c r="F49" s="4">
        <f t="shared" si="13"/>
        <v>0</v>
      </c>
      <c r="G49" s="4">
        <f t="shared" si="13"/>
        <v>0</v>
      </c>
      <c r="H49" s="4">
        <f t="shared" si="13"/>
        <v>0</v>
      </c>
      <c r="I49" s="4">
        <f t="shared" si="13"/>
        <v>0</v>
      </c>
      <c r="J49" s="4">
        <f t="shared" si="13"/>
        <v>0</v>
      </c>
      <c r="K49" s="4">
        <f t="shared" si="13"/>
        <v>0</v>
      </c>
      <c r="N49" s="1" t="s">
        <v>14</v>
      </c>
      <c r="O49">
        <f t="shared" ref="O49:O55" si="15">POWER(D5-O38,2)/O38</f>
        <v>2.4051218402237486</v>
      </c>
      <c r="P49">
        <f t="shared" si="14"/>
        <v>0.39082286388246862</v>
      </c>
      <c r="Q49">
        <f t="shared" si="14"/>
        <v>0.41857695279435192</v>
      </c>
      <c r="R49">
        <f t="shared" si="14"/>
        <v>1.1358809342549789</v>
      </c>
      <c r="S49">
        <f t="shared" si="14"/>
        <v>0.39082286388246851</v>
      </c>
      <c r="T49">
        <f t="shared" si="14"/>
        <v>1.0863388233149573</v>
      </c>
      <c r="U49">
        <f t="shared" si="14"/>
        <v>2.7755982449999999</v>
      </c>
      <c r="V49">
        <f t="shared" si="14"/>
        <v>2.3229651905433042</v>
      </c>
      <c r="W49" s="7">
        <f t="shared" ref="W49:W56" si="16">SUM(O49:V49)</f>
        <v>10.926127713896278</v>
      </c>
      <c r="Z49" t="s">
        <v>69</v>
      </c>
      <c r="AB49">
        <v>12</v>
      </c>
      <c r="AC49" s="7"/>
    </row>
    <row r="50" spans="1:29" x14ac:dyDescent="0.25">
      <c r="A50" s="7"/>
      <c r="B50" s="4">
        <f>(1-e1_)*(1-e2_)*(e3_)</f>
        <v>9.0000000000000011E-2</v>
      </c>
      <c r="C50" s="1" t="s">
        <v>15</v>
      </c>
      <c r="D50" s="4">
        <f t="shared" si="13"/>
        <v>0</v>
      </c>
      <c r="E50" s="4">
        <f t="shared" si="13"/>
        <v>0</v>
      </c>
      <c r="F50" s="4">
        <f t="shared" si="13"/>
        <v>0</v>
      </c>
      <c r="G50" s="4">
        <f t="shared" si="13"/>
        <v>0</v>
      </c>
      <c r="H50" s="4">
        <f t="shared" si="13"/>
        <v>0</v>
      </c>
      <c r="I50" s="4">
        <f t="shared" si="13"/>
        <v>0</v>
      </c>
      <c r="J50" s="4">
        <f t="shared" si="13"/>
        <v>0</v>
      </c>
      <c r="K50" s="4">
        <f t="shared" si="13"/>
        <v>0</v>
      </c>
      <c r="N50" s="1" t="s">
        <v>15</v>
      </c>
      <c r="O50">
        <f t="shared" si="15"/>
        <v>10.724893244369008</v>
      </c>
      <c r="P50">
        <f t="shared" si="14"/>
        <v>0.41869502805845088</v>
      </c>
      <c r="Q50">
        <f t="shared" si="14"/>
        <v>1.9291308300000005</v>
      </c>
      <c r="R50">
        <f t="shared" si="14"/>
        <v>1.1869940020389673</v>
      </c>
      <c r="S50">
        <f t="shared" si="14"/>
        <v>6.4697722338020441E-3</v>
      </c>
      <c r="T50">
        <f t="shared" si="14"/>
        <v>1.1360906325439877</v>
      </c>
      <c r="U50">
        <f t="shared" si="14"/>
        <v>1.1869940020389673</v>
      </c>
      <c r="V50">
        <f t="shared" si="14"/>
        <v>1.1244292634506334</v>
      </c>
      <c r="W50" s="7">
        <f t="shared" si="16"/>
        <v>17.713696774733815</v>
      </c>
      <c r="AC50" s="7"/>
    </row>
    <row r="51" spans="1:29" x14ac:dyDescent="0.25">
      <c r="A51" s="7"/>
      <c r="B51" s="4">
        <f>(1-e1_)*(1-e2_)*(1-e3_)</f>
        <v>0.51</v>
      </c>
      <c r="C51" s="1" t="s">
        <v>16</v>
      </c>
      <c r="D51" s="4">
        <f t="shared" si="13"/>
        <v>0</v>
      </c>
      <c r="E51" s="4">
        <f t="shared" si="13"/>
        <v>0</v>
      </c>
      <c r="F51" s="4">
        <f t="shared" si="13"/>
        <v>0</v>
      </c>
      <c r="G51" s="4">
        <f t="shared" si="13"/>
        <v>0</v>
      </c>
      <c r="H51" s="4">
        <f t="shared" si="13"/>
        <v>0</v>
      </c>
      <c r="I51" s="4">
        <f t="shared" si="13"/>
        <v>0</v>
      </c>
      <c r="J51" s="4">
        <f t="shared" si="13"/>
        <v>0</v>
      </c>
      <c r="K51" s="4">
        <f t="shared" si="13"/>
        <v>0</v>
      </c>
      <c r="N51" s="1" t="s">
        <v>16</v>
      </c>
      <c r="O51">
        <f t="shared" si="15"/>
        <v>0.44749899064984078</v>
      </c>
      <c r="P51">
        <f t="shared" si="14"/>
        <v>1.1869940020389678</v>
      </c>
      <c r="Q51">
        <f t="shared" si="14"/>
        <v>1.2392750187665604</v>
      </c>
      <c r="R51">
        <f t="shared" si="14"/>
        <v>0.36826574723380218</v>
      </c>
      <c r="S51">
        <f t="shared" si="14"/>
        <v>1.1869940020389673</v>
      </c>
      <c r="T51">
        <f t="shared" si="14"/>
        <v>0.32526730526392389</v>
      </c>
      <c r="U51">
        <f t="shared" si="14"/>
        <v>1.1921363071039122</v>
      </c>
      <c r="V51">
        <f t="shared" si="14"/>
        <v>3.6191586529210955</v>
      </c>
      <c r="W51" s="7">
        <f t="shared" si="16"/>
        <v>9.5655900260170696</v>
      </c>
      <c r="AC51" s="7"/>
    </row>
    <row r="52" spans="1:29" x14ac:dyDescent="0.25">
      <c r="A52" s="7"/>
      <c r="B52" s="4">
        <f>(e1_)*(e2_)*(e3_)</f>
        <v>7.4999999999999997E-3</v>
      </c>
      <c r="C52" s="1" t="s">
        <v>17</v>
      </c>
      <c r="D52" s="4">
        <f t="shared" si="13"/>
        <v>0</v>
      </c>
      <c r="E52" s="4">
        <f t="shared" si="13"/>
        <v>0</v>
      </c>
      <c r="F52" s="4">
        <f t="shared" si="13"/>
        <v>0</v>
      </c>
      <c r="G52" s="4">
        <f t="shared" si="13"/>
        <v>0</v>
      </c>
      <c r="H52" s="4">
        <f t="shared" si="13"/>
        <v>0</v>
      </c>
      <c r="I52" s="4">
        <f t="shared" si="13"/>
        <v>0</v>
      </c>
      <c r="J52" s="4">
        <f t="shared" si="13"/>
        <v>0</v>
      </c>
      <c r="K52" s="4">
        <f t="shared" si="13"/>
        <v>0</v>
      </c>
      <c r="N52" s="1" t="s">
        <v>17</v>
      </c>
      <c r="O52">
        <f t="shared" si="15"/>
        <v>18.416497049653287</v>
      </c>
      <c r="P52">
        <f t="shared" si="14"/>
        <v>0.36410225997243673</v>
      </c>
      <c r="Q52">
        <f t="shared" si="14"/>
        <v>1.2094965529873802E-2</v>
      </c>
      <c r="R52">
        <f t="shared" si="14"/>
        <v>1.0863388233149578</v>
      </c>
      <c r="S52">
        <f t="shared" si="14"/>
        <v>1.9434699889745104E-2</v>
      </c>
      <c r="T52">
        <f t="shared" si="14"/>
        <v>2.6625512200000001</v>
      </c>
      <c r="U52">
        <f t="shared" si="14"/>
        <v>1.0863388233149578</v>
      </c>
      <c r="V52">
        <f t="shared" si="14"/>
        <v>0.99537250793316179</v>
      </c>
      <c r="W52" s="7">
        <f t="shared" si="16"/>
        <v>24.642730349608421</v>
      </c>
      <c r="AC52" s="7"/>
    </row>
    <row r="53" spans="1:29" x14ac:dyDescent="0.25">
      <c r="A53" s="7"/>
      <c r="B53" s="4">
        <f>(e1_)*(e2_)*(1-e3_)</f>
        <v>4.2500000000000003E-2</v>
      </c>
      <c r="C53" s="1" t="s">
        <v>18</v>
      </c>
      <c r="D53" s="4">
        <f t="shared" si="13"/>
        <v>0</v>
      </c>
      <c r="E53" s="4">
        <f t="shared" si="13"/>
        <v>0</v>
      </c>
      <c r="F53" s="4">
        <f t="shared" si="13"/>
        <v>0</v>
      </c>
      <c r="G53" s="4">
        <f t="shared" si="13"/>
        <v>0</v>
      </c>
      <c r="H53" s="4">
        <f t="shared" si="13"/>
        <v>0</v>
      </c>
      <c r="I53" s="4">
        <f t="shared" si="13"/>
        <v>0</v>
      </c>
      <c r="J53" s="4">
        <f t="shared" si="13"/>
        <v>0</v>
      </c>
      <c r="K53" s="4">
        <f t="shared" si="13"/>
        <v>0</v>
      </c>
      <c r="N53" s="1" t="s">
        <v>18</v>
      </c>
      <c r="O53">
        <f t="shared" si="15"/>
        <v>0.39082286388246862</v>
      </c>
      <c r="P53">
        <f t="shared" si="14"/>
        <v>1.0863388233149578</v>
      </c>
      <c r="Q53">
        <f t="shared" si="14"/>
        <v>1.1358809342549792</v>
      </c>
      <c r="R53">
        <f t="shared" si="14"/>
        <v>0.28484067488974479</v>
      </c>
      <c r="S53">
        <f t="shared" si="14"/>
        <v>1.0863388233149578</v>
      </c>
      <c r="T53">
        <f t="shared" si="14"/>
        <v>0.99537250793316145</v>
      </c>
      <c r="U53">
        <f t="shared" si="14"/>
        <v>1.0586684971732196</v>
      </c>
      <c r="V53">
        <f t="shared" si="14"/>
        <v>0.67389414295372396</v>
      </c>
      <c r="W53" s="7">
        <f t="shared" si="16"/>
        <v>6.7121572677172141</v>
      </c>
      <c r="AC53" s="7"/>
    </row>
    <row r="54" spans="1:29" x14ac:dyDescent="0.25">
      <c r="A54" s="7"/>
      <c r="B54" s="4">
        <f>(e1_)*(1-e2_)*(e3_)</f>
        <v>0.03</v>
      </c>
      <c r="C54" s="1" t="s">
        <v>19</v>
      </c>
      <c r="D54" s="4">
        <f t="shared" si="13"/>
        <v>0</v>
      </c>
      <c r="E54" s="4">
        <f t="shared" si="13"/>
        <v>0</v>
      </c>
      <c r="F54" s="4">
        <f t="shared" si="13"/>
        <v>0</v>
      </c>
      <c r="G54" s="4">
        <f t="shared" si="13"/>
        <v>0</v>
      </c>
      <c r="H54" s="4">
        <f t="shared" si="13"/>
        <v>0</v>
      </c>
      <c r="I54" s="4">
        <f t="shared" si="13"/>
        <v>0</v>
      </c>
      <c r="J54" s="4">
        <f t="shared" si="13"/>
        <v>0</v>
      </c>
      <c r="K54" s="4">
        <f t="shared" si="13"/>
        <v>0</v>
      </c>
      <c r="N54" s="1" t="s">
        <v>19</v>
      </c>
      <c r="O54">
        <f t="shared" si="15"/>
        <v>6.4697722338020163E-3</v>
      </c>
      <c r="P54">
        <f t="shared" si="14"/>
        <v>2.7758392200000004</v>
      </c>
      <c r="Q54">
        <f t="shared" si="14"/>
        <v>1.1869940020389673</v>
      </c>
      <c r="R54">
        <f t="shared" si="14"/>
        <v>1.124429263450633</v>
      </c>
      <c r="S54">
        <f t="shared" si="14"/>
        <v>1.1360906325439877</v>
      </c>
      <c r="T54">
        <f t="shared" si="14"/>
        <v>1.0589373654138816</v>
      </c>
      <c r="U54">
        <f t="shared" si="14"/>
        <v>1.124429263450633</v>
      </c>
      <c r="V54">
        <f t="shared" si="14"/>
        <v>2.2426824832887794E-3</v>
      </c>
      <c r="W54" s="7">
        <f t="shared" si="16"/>
        <v>8.415432201615193</v>
      </c>
      <c r="AC54" s="7"/>
    </row>
    <row r="55" spans="1:29" x14ac:dyDescent="0.25">
      <c r="A55" s="7"/>
      <c r="B55" s="4">
        <f>(e1_)*(1-e2_)*(1-e3_)</f>
        <v>0.17</v>
      </c>
      <c r="C55" s="1" t="s">
        <v>20</v>
      </c>
      <c r="D55" s="4">
        <f t="shared" si="13"/>
        <v>0</v>
      </c>
      <c r="E55" s="4">
        <f t="shared" si="13"/>
        <v>0</v>
      </c>
      <c r="F55" s="4">
        <f t="shared" si="13"/>
        <v>0</v>
      </c>
      <c r="G55" s="4">
        <f t="shared" si="13"/>
        <v>0</v>
      </c>
      <c r="H55" s="4">
        <f t="shared" si="13"/>
        <v>0</v>
      </c>
      <c r="I55" s="4">
        <f t="shared" si="13"/>
        <v>0</v>
      </c>
      <c r="J55" s="4">
        <f t="shared" si="13"/>
        <v>0</v>
      </c>
      <c r="K55" s="4">
        <f t="shared" si="13"/>
        <v>0</v>
      </c>
      <c r="N55" s="1" t="s">
        <v>20</v>
      </c>
      <c r="O55">
        <f t="shared" si="15"/>
        <v>1.1869940020389678</v>
      </c>
      <c r="P55">
        <f t="shared" si="14"/>
        <v>2.4039264383626588</v>
      </c>
      <c r="Q55">
        <f t="shared" si="14"/>
        <v>0.36826574723380218</v>
      </c>
      <c r="R55">
        <f t="shared" si="14"/>
        <v>3.6191586529210977</v>
      </c>
      <c r="S55">
        <f t="shared" si="14"/>
        <v>1.124429263450633</v>
      </c>
      <c r="T55">
        <f t="shared" si="14"/>
        <v>1.3586370730874009</v>
      </c>
      <c r="U55">
        <f t="shared" si="14"/>
        <v>9.6608457037972023E-3</v>
      </c>
      <c r="V55">
        <f t="shared" si="14"/>
        <v>78.418463054598959</v>
      </c>
      <c r="W55" s="7">
        <f t="shared" si="16"/>
        <v>88.489535077397321</v>
      </c>
      <c r="AC55" s="7"/>
    </row>
    <row r="56" spans="1:29" x14ac:dyDescent="0.25">
      <c r="A56" s="7"/>
      <c r="O56" s="7">
        <f>SUM(O48:O55)</f>
        <v>344.59802915882818</v>
      </c>
      <c r="P56" s="7">
        <f t="shared" ref="P56:V56" si="17">SUM(P48:P55)</f>
        <v>11.156042313043264</v>
      </c>
      <c r="Q56" s="7">
        <f t="shared" si="17"/>
        <v>12.253034367682979</v>
      </c>
      <c r="R56" s="7">
        <f t="shared" si="17"/>
        <v>9.1967309619866509</v>
      </c>
      <c r="S56" s="7">
        <f t="shared" si="17"/>
        <v>23.367077107007859</v>
      </c>
      <c r="T56" s="7">
        <f t="shared" si="17"/>
        <v>8.987297187529748</v>
      </c>
      <c r="U56" s="7">
        <f t="shared" si="17"/>
        <v>8.4459209493153615</v>
      </c>
      <c r="V56" s="7">
        <f t="shared" si="17"/>
        <v>87.346419278143998</v>
      </c>
      <c r="W56" s="22">
        <f t="shared" si="16"/>
        <v>505.35055132353796</v>
      </c>
      <c r="X56" t="s">
        <v>64</v>
      </c>
      <c r="AC56" s="7"/>
    </row>
    <row r="57" spans="1:29" x14ac:dyDescent="0.25">
      <c r="A57" s="7"/>
      <c r="C57" s="1" t="s">
        <v>29</v>
      </c>
      <c r="D57" s="4">
        <f>p_211*(ep1_)*(1-ep2_)*(1-ep3_)</f>
        <v>0</v>
      </c>
      <c r="E57" s="4">
        <f>p_211*(ep1_)*(1-ep2_)*(ep3_)</f>
        <v>0</v>
      </c>
      <c r="F57" s="4">
        <f>p_211*(ep1_)*(ep2_)*(1-ep3_)</f>
        <v>0</v>
      </c>
      <c r="G57" s="4">
        <f>p_211*(ep1_)*(ep2_)*(ep3_)</f>
        <v>0</v>
      </c>
      <c r="H57" s="4">
        <f>p_211*(1-ep1_)*(1-ep2_)*(1-ep3_)</f>
        <v>0</v>
      </c>
      <c r="I57" s="4">
        <f>p_211*(1-ep1_)*(1-ep2_)*(ep3_)</f>
        <v>0</v>
      </c>
      <c r="J57" s="4">
        <f>p_211*(1-ep1_)*(ep2_)*(1-ep3_)</f>
        <v>0</v>
      </c>
      <c r="K57" s="4">
        <f>p_211*(1-ep1_)*(ep2_)*(ep3_)</f>
        <v>0</v>
      </c>
      <c r="X57">
        <f>_xlfn.CHISQ.DIST(W56,60,TRUE)</f>
        <v>1</v>
      </c>
      <c r="AC57" s="7"/>
    </row>
    <row r="58" spans="1:29" x14ac:dyDescent="0.25">
      <c r="A58" s="7"/>
      <c r="C58" s="1"/>
      <c r="D58" s="1" t="s">
        <v>13</v>
      </c>
      <c r="E58" s="1" t="s">
        <v>14</v>
      </c>
      <c r="F58" s="1" t="s">
        <v>15</v>
      </c>
      <c r="G58" s="1" t="s">
        <v>16</v>
      </c>
      <c r="H58" s="1" t="s">
        <v>17</v>
      </c>
      <c r="I58" s="1" t="s">
        <v>18</v>
      </c>
      <c r="J58" s="1" t="s">
        <v>19</v>
      </c>
      <c r="K58" s="1" t="s">
        <v>20</v>
      </c>
      <c r="L58" s="1"/>
      <c r="X58">
        <f>1-X57</f>
        <v>0</v>
      </c>
      <c r="Y58" t="s">
        <v>65</v>
      </c>
      <c r="AC58" s="7"/>
    </row>
    <row r="59" spans="1:29" x14ac:dyDescent="0.25">
      <c r="A59" s="7"/>
      <c r="B59" s="4">
        <f>(e1_)*(1-e2_)*(1-e3_)</f>
        <v>0.17</v>
      </c>
      <c r="C59" s="1" t="s">
        <v>13</v>
      </c>
      <c r="D59" s="4">
        <f t="shared" ref="D59:K66" si="18">row_211*col_211</f>
        <v>0</v>
      </c>
      <c r="E59" s="4">
        <f t="shared" si="18"/>
        <v>0</v>
      </c>
      <c r="F59" s="4">
        <f t="shared" si="18"/>
        <v>0</v>
      </c>
      <c r="G59" s="4">
        <f t="shared" si="18"/>
        <v>0</v>
      </c>
      <c r="H59" s="4">
        <f t="shared" si="18"/>
        <v>0</v>
      </c>
      <c r="I59" s="4">
        <f t="shared" si="18"/>
        <v>0</v>
      </c>
      <c r="J59" s="4">
        <f t="shared" si="18"/>
        <v>0</v>
      </c>
      <c r="K59" s="4">
        <f t="shared" si="18"/>
        <v>0</v>
      </c>
      <c r="AC59" s="7"/>
    </row>
    <row r="60" spans="1:29" x14ac:dyDescent="0.25">
      <c r="A60" s="7"/>
      <c r="B60" s="4">
        <f>(e1_)*(1-e2_)*(e3_)</f>
        <v>0.03</v>
      </c>
      <c r="C60" s="1" t="s">
        <v>14</v>
      </c>
      <c r="D60" s="4">
        <f t="shared" si="18"/>
        <v>0</v>
      </c>
      <c r="E60" s="4">
        <f t="shared" si="18"/>
        <v>0</v>
      </c>
      <c r="F60" s="4">
        <f t="shared" si="18"/>
        <v>0</v>
      </c>
      <c r="G60" s="4">
        <f t="shared" si="18"/>
        <v>0</v>
      </c>
      <c r="H60" s="4">
        <f t="shared" si="18"/>
        <v>0</v>
      </c>
      <c r="I60" s="4">
        <f t="shared" si="18"/>
        <v>0</v>
      </c>
      <c r="J60" s="4">
        <f t="shared" si="18"/>
        <v>0</v>
      </c>
      <c r="K60" s="4">
        <f t="shared" si="18"/>
        <v>0</v>
      </c>
      <c r="O60" s="23"/>
      <c r="P60" s="23"/>
      <c r="Q60" s="23"/>
      <c r="R60" s="23"/>
      <c r="S60" s="23"/>
      <c r="T60" s="23"/>
      <c r="U60" s="23"/>
      <c r="V60" s="23"/>
      <c r="AC60" s="7"/>
    </row>
    <row r="61" spans="1:29" x14ac:dyDescent="0.25">
      <c r="A61" s="7"/>
      <c r="B61" s="4">
        <f>(e1_)*(e2_)*(1-e3_)</f>
        <v>4.2500000000000003E-2</v>
      </c>
      <c r="C61" s="1" t="s">
        <v>15</v>
      </c>
      <c r="D61" s="4">
        <f t="shared" si="18"/>
        <v>0</v>
      </c>
      <c r="E61" s="4">
        <f t="shared" si="18"/>
        <v>0</v>
      </c>
      <c r="F61" s="4">
        <f t="shared" si="18"/>
        <v>0</v>
      </c>
      <c r="G61" s="4">
        <f t="shared" si="18"/>
        <v>0</v>
      </c>
      <c r="H61" s="4">
        <f t="shared" si="18"/>
        <v>0</v>
      </c>
      <c r="I61" s="4">
        <f t="shared" si="18"/>
        <v>0</v>
      </c>
      <c r="J61" s="4">
        <f t="shared" si="18"/>
        <v>0</v>
      </c>
      <c r="K61" s="4">
        <f t="shared" si="18"/>
        <v>0</v>
      </c>
      <c r="O61" s="23"/>
      <c r="P61" s="23"/>
      <c r="Q61" s="23"/>
      <c r="R61" s="23"/>
      <c r="S61" s="23"/>
      <c r="T61" s="23"/>
      <c r="U61" s="23"/>
      <c r="V61" s="23"/>
      <c r="AC61" s="7"/>
    </row>
    <row r="62" spans="1:29" x14ac:dyDescent="0.25">
      <c r="A62" s="7"/>
      <c r="B62" s="4">
        <f>(e1_)*(e2_)*(e3_)</f>
        <v>7.4999999999999997E-3</v>
      </c>
      <c r="C62" s="1" t="s">
        <v>16</v>
      </c>
      <c r="D62" s="4">
        <f t="shared" si="18"/>
        <v>0</v>
      </c>
      <c r="E62" s="4">
        <f t="shared" si="18"/>
        <v>0</v>
      </c>
      <c r="F62" s="4">
        <f t="shared" si="18"/>
        <v>0</v>
      </c>
      <c r="G62" s="4">
        <f t="shared" si="18"/>
        <v>0</v>
      </c>
      <c r="H62" s="4">
        <f t="shared" si="18"/>
        <v>0</v>
      </c>
      <c r="I62" s="4">
        <f t="shared" si="18"/>
        <v>0</v>
      </c>
      <c r="J62" s="4">
        <f t="shared" si="18"/>
        <v>0</v>
      </c>
      <c r="K62" s="4">
        <f t="shared" si="18"/>
        <v>0</v>
      </c>
      <c r="O62" s="23"/>
      <c r="P62" s="23"/>
      <c r="Q62" s="23"/>
      <c r="R62" s="23"/>
      <c r="S62" s="23"/>
      <c r="T62" s="23"/>
      <c r="U62" s="23"/>
      <c r="V62" s="23"/>
      <c r="AC62" s="7"/>
    </row>
    <row r="63" spans="1:29" x14ac:dyDescent="0.25">
      <c r="A63" s="7"/>
      <c r="B63" s="4">
        <f>(1-e1_)*(1-e2_)*(1-e3_)</f>
        <v>0.51</v>
      </c>
      <c r="C63" s="1" t="s">
        <v>17</v>
      </c>
      <c r="D63" s="4">
        <f t="shared" si="18"/>
        <v>0</v>
      </c>
      <c r="E63" s="4">
        <f t="shared" si="18"/>
        <v>0</v>
      </c>
      <c r="F63" s="4">
        <f t="shared" si="18"/>
        <v>0</v>
      </c>
      <c r="G63" s="4">
        <f t="shared" si="18"/>
        <v>0</v>
      </c>
      <c r="H63" s="4">
        <f t="shared" si="18"/>
        <v>0</v>
      </c>
      <c r="I63" s="4">
        <f t="shared" si="18"/>
        <v>0</v>
      </c>
      <c r="J63" s="4">
        <f t="shared" si="18"/>
        <v>0</v>
      </c>
      <c r="K63" s="4">
        <f t="shared" si="18"/>
        <v>0</v>
      </c>
      <c r="O63" s="23"/>
      <c r="P63" s="23"/>
      <c r="Q63" s="23"/>
      <c r="R63" s="23"/>
      <c r="S63" s="23"/>
      <c r="T63" s="23"/>
      <c r="U63" s="23"/>
      <c r="V63" s="23"/>
      <c r="AC63" s="7"/>
    </row>
    <row r="64" spans="1:29" x14ac:dyDescent="0.25">
      <c r="A64" s="7"/>
      <c r="B64" s="4">
        <f>(1-e1_)*(1-e2_)*(e3_)</f>
        <v>9.0000000000000011E-2</v>
      </c>
      <c r="C64" s="1" t="s">
        <v>18</v>
      </c>
      <c r="D64" s="4">
        <f t="shared" si="18"/>
        <v>0</v>
      </c>
      <c r="E64" s="4">
        <f t="shared" si="18"/>
        <v>0</v>
      </c>
      <c r="F64" s="4">
        <f t="shared" si="18"/>
        <v>0</v>
      </c>
      <c r="G64" s="4">
        <f t="shared" si="18"/>
        <v>0</v>
      </c>
      <c r="H64" s="4">
        <f t="shared" si="18"/>
        <v>0</v>
      </c>
      <c r="I64" s="4">
        <f t="shared" si="18"/>
        <v>0</v>
      </c>
      <c r="J64" s="4">
        <f t="shared" si="18"/>
        <v>0</v>
      </c>
      <c r="K64" s="4">
        <f t="shared" si="18"/>
        <v>0</v>
      </c>
      <c r="O64" s="23"/>
      <c r="P64" s="23"/>
      <c r="Q64" s="23"/>
      <c r="R64" s="23"/>
      <c r="S64" s="23"/>
      <c r="T64" s="23"/>
      <c r="U64" s="23"/>
      <c r="V64" s="23"/>
      <c r="AC64" s="7"/>
    </row>
    <row r="65" spans="1:29" x14ac:dyDescent="0.25">
      <c r="A65" s="7"/>
      <c r="B65" s="4">
        <f>(1-e1_)*(e2_)*(1-e3_)</f>
        <v>0.1275</v>
      </c>
      <c r="C65" s="1" t="s">
        <v>19</v>
      </c>
      <c r="D65" s="4">
        <f t="shared" si="18"/>
        <v>0</v>
      </c>
      <c r="E65" s="4">
        <f t="shared" si="18"/>
        <v>0</v>
      </c>
      <c r="F65" s="4">
        <f t="shared" si="18"/>
        <v>0</v>
      </c>
      <c r="G65" s="4">
        <f t="shared" si="18"/>
        <v>0</v>
      </c>
      <c r="H65" s="4">
        <f t="shared" si="18"/>
        <v>0</v>
      </c>
      <c r="I65" s="4">
        <f t="shared" si="18"/>
        <v>0</v>
      </c>
      <c r="J65" s="4">
        <f t="shared" si="18"/>
        <v>0</v>
      </c>
      <c r="K65" s="4">
        <f t="shared" si="18"/>
        <v>0</v>
      </c>
      <c r="O65" s="23"/>
      <c r="P65" s="23"/>
      <c r="Q65" s="23"/>
      <c r="R65" s="23"/>
      <c r="S65" s="23"/>
      <c r="T65" s="23"/>
      <c r="U65" s="23"/>
      <c r="V65" s="23"/>
      <c r="AC65" s="7"/>
    </row>
    <row r="66" spans="1:29" x14ac:dyDescent="0.25">
      <c r="A66" s="7"/>
      <c r="B66" s="4">
        <f>(1-e1_)*(e2_)*(e3_)</f>
        <v>2.2500000000000003E-2</v>
      </c>
      <c r="C66" s="1" t="s">
        <v>20</v>
      </c>
      <c r="D66" s="4">
        <f t="shared" si="18"/>
        <v>0</v>
      </c>
      <c r="E66" s="4">
        <f t="shared" si="18"/>
        <v>0</v>
      </c>
      <c r="F66" s="4">
        <f t="shared" si="18"/>
        <v>0</v>
      </c>
      <c r="G66" s="4">
        <f t="shared" si="18"/>
        <v>0</v>
      </c>
      <c r="H66" s="4">
        <f t="shared" si="18"/>
        <v>0</v>
      </c>
      <c r="I66" s="4">
        <f t="shared" si="18"/>
        <v>0</v>
      </c>
      <c r="J66" s="4">
        <f t="shared" si="18"/>
        <v>0</v>
      </c>
      <c r="K66" s="4">
        <f t="shared" si="18"/>
        <v>0</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f>p_212*(ep1_)*(1-ep2_)*(ep3_)</f>
        <v>0</v>
      </c>
      <c r="E68" s="4">
        <f>p_212*(ep1_)*(1-ep2_)*(1-ep3_)</f>
        <v>0</v>
      </c>
      <c r="F68" s="4">
        <f>p_212*(ep1_)*(ep2_)*(ep3_)</f>
        <v>0</v>
      </c>
      <c r="G68" s="4">
        <f>p_212*(ep1_)*(ep2_)*(1-ep3_)</f>
        <v>0</v>
      </c>
      <c r="H68" s="4">
        <f>p_212*(1-ep1_)*(1-ep2_)*(ep3_)</f>
        <v>0</v>
      </c>
      <c r="I68" s="4">
        <f>p_212*(1-ep1_)*(1-ep2_)*(1-ep3_)</f>
        <v>0</v>
      </c>
      <c r="J68" s="4">
        <f>p_212*(1-ep1_)*(ep2_)*(ep3_)</f>
        <v>0</v>
      </c>
      <c r="K68" s="4">
        <f>p_212*(1-ep1_)*(ep2_)*(1-ep3_)</f>
        <v>0</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f>(e1_)*(1-e2_)*(e3_)</f>
        <v>0.03</v>
      </c>
      <c r="C70" s="1" t="s">
        <v>13</v>
      </c>
      <c r="D70" s="4">
        <f t="shared" ref="D70:K77" si="19">row_212*col_212</f>
        <v>0</v>
      </c>
      <c r="E70" s="4">
        <f t="shared" si="19"/>
        <v>0</v>
      </c>
      <c r="F70" s="4">
        <f t="shared" si="19"/>
        <v>0</v>
      </c>
      <c r="G70" s="4">
        <f t="shared" si="19"/>
        <v>0</v>
      </c>
      <c r="H70" s="4">
        <f t="shared" si="19"/>
        <v>0</v>
      </c>
      <c r="I70" s="4">
        <f t="shared" si="19"/>
        <v>0</v>
      </c>
      <c r="J70" s="4">
        <f t="shared" si="19"/>
        <v>0</v>
      </c>
      <c r="K70" s="4">
        <f t="shared" si="19"/>
        <v>0</v>
      </c>
      <c r="AC70" s="7"/>
    </row>
    <row r="71" spans="1:29" x14ac:dyDescent="0.25">
      <c r="A71" s="7"/>
      <c r="B71" s="4">
        <f>(e1_)*(1-e2_)*(1-e3_)</f>
        <v>0.17</v>
      </c>
      <c r="C71" s="1" t="s">
        <v>14</v>
      </c>
      <c r="D71" s="4">
        <f t="shared" si="19"/>
        <v>0</v>
      </c>
      <c r="E71" s="4">
        <f t="shared" si="19"/>
        <v>0</v>
      </c>
      <c r="F71" s="4">
        <f t="shared" si="19"/>
        <v>0</v>
      </c>
      <c r="G71" s="4">
        <f t="shared" si="19"/>
        <v>0</v>
      </c>
      <c r="H71" s="4">
        <f t="shared" si="19"/>
        <v>0</v>
      </c>
      <c r="I71" s="4">
        <f t="shared" si="19"/>
        <v>0</v>
      </c>
      <c r="J71" s="4">
        <f t="shared" si="19"/>
        <v>0</v>
      </c>
      <c r="K71" s="4">
        <f t="shared" si="19"/>
        <v>0</v>
      </c>
      <c r="AC71" s="7"/>
    </row>
    <row r="72" spans="1:29" x14ac:dyDescent="0.25">
      <c r="A72" s="7"/>
      <c r="B72" s="4">
        <f>(e1_)*(e2_)*(e3_)</f>
        <v>7.4999999999999997E-3</v>
      </c>
      <c r="C72" s="1" t="s">
        <v>15</v>
      </c>
      <c r="D72" s="4">
        <f t="shared" si="19"/>
        <v>0</v>
      </c>
      <c r="E72" s="4">
        <f t="shared" si="19"/>
        <v>0</v>
      </c>
      <c r="F72" s="4">
        <f t="shared" si="19"/>
        <v>0</v>
      </c>
      <c r="G72" s="4">
        <f t="shared" si="19"/>
        <v>0</v>
      </c>
      <c r="H72" s="4">
        <f t="shared" si="19"/>
        <v>0</v>
      </c>
      <c r="I72" s="4">
        <f t="shared" si="19"/>
        <v>0</v>
      </c>
      <c r="J72" s="4">
        <f t="shared" si="19"/>
        <v>0</v>
      </c>
      <c r="K72" s="4">
        <f t="shared" si="19"/>
        <v>0</v>
      </c>
      <c r="AC72" s="7"/>
    </row>
    <row r="73" spans="1:29" x14ac:dyDescent="0.25">
      <c r="A73" s="7"/>
      <c r="B73" s="4">
        <f>(e1_)*(e2_)*(1-e3_)</f>
        <v>4.2500000000000003E-2</v>
      </c>
      <c r="C73" s="1" t="s">
        <v>16</v>
      </c>
      <c r="D73" s="4">
        <f t="shared" si="19"/>
        <v>0</v>
      </c>
      <c r="E73" s="4">
        <f t="shared" si="19"/>
        <v>0</v>
      </c>
      <c r="F73" s="4">
        <f t="shared" si="19"/>
        <v>0</v>
      </c>
      <c r="G73" s="4">
        <f t="shared" si="19"/>
        <v>0</v>
      </c>
      <c r="H73" s="4">
        <f t="shared" si="19"/>
        <v>0</v>
      </c>
      <c r="I73" s="4">
        <f t="shared" si="19"/>
        <v>0</v>
      </c>
      <c r="J73" s="4">
        <f t="shared" si="19"/>
        <v>0</v>
      </c>
      <c r="K73" s="4">
        <f t="shared" si="19"/>
        <v>0</v>
      </c>
      <c r="AC73" s="7"/>
    </row>
    <row r="74" spans="1:29" x14ac:dyDescent="0.25">
      <c r="A74" s="7"/>
      <c r="B74" s="4">
        <f>(1-e1_)*(1-e2_)*(e3_)</f>
        <v>9.0000000000000011E-2</v>
      </c>
      <c r="C74" s="1" t="s">
        <v>17</v>
      </c>
      <c r="D74" s="4">
        <f t="shared" si="19"/>
        <v>0</v>
      </c>
      <c r="E74" s="4">
        <f t="shared" si="19"/>
        <v>0</v>
      </c>
      <c r="F74" s="4">
        <f t="shared" si="19"/>
        <v>0</v>
      </c>
      <c r="G74" s="4">
        <f t="shared" si="19"/>
        <v>0</v>
      </c>
      <c r="H74" s="4">
        <f t="shared" si="19"/>
        <v>0</v>
      </c>
      <c r="I74" s="4">
        <f t="shared" si="19"/>
        <v>0</v>
      </c>
      <c r="J74" s="4">
        <f t="shared" si="19"/>
        <v>0</v>
      </c>
      <c r="K74" s="4">
        <f t="shared" si="19"/>
        <v>0</v>
      </c>
      <c r="AC74" s="7"/>
    </row>
    <row r="75" spans="1:29" x14ac:dyDescent="0.25">
      <c r="A75" s="7"/>
      <c r="B75" s="4">
        <f>(1-e1_)*(1-e2_)*(1-e3_)</f>
        <v>0.51</v>
      </c>
      <c r="C75" s="1" t="s">
        <v>18</v>
      </c>
      <c r="D75" s="4">
        <f t="shared" si="19"/>
        <v>0</v>
      </c>
      <c r="E75" s="4">
        <f t="shared" si="19"/>
        <v>0</v>
      </c>
      <c r="F75" s="4">
        <f t="shared" si="19"/>
        <v>0</v>
      </c>
      <c r="G75" s="4">
        <f t="shared" si="19"/>
        <v>0</v>
      </c>
      <c r="H75" s="4">
        <f t="shared" si="19"/>
        <v>0</v>
      </c>
      <c r="I75" s="4">
        <f t="shared" si="19"/>
        <v>0</v>
      </c>
      <c r="J75" s="4">
        <f t="shared" si="19"/>
        <v>0</v>
      </c>
      <c r="K75" s="4">
        <f t="shared" si="19"/>
        <v>0</v>
      </c>
      <c r="AC75" s="7"/>
    </row>
    <row r="76" spans="1:29" x14ac:dyDescent="0.25">
      <c r="A76" s="7"/>
      <c r="B76" s="4">
        <f>(1-e1_)*(e2_)*(e3_)</f>
        <v>2.2500000000000003E-2</v>
      </c>
      <c r="C76" s="1" t="s">
        <v>19</v>
      </c>
      <c r="D76" s="4">
        <f t="shared" si="19"/>
        <v>0</v>
      </c>
      <c r="E76" s="4">
        <f t="shared" si="19"/>
        <v>0</v>
      </c>
      <c r="F76" s="4">
        <f t="shared" si="19"/>
        <v>0</v>
      </c>
      <c r="G76" s="4">
        <f t="shared" si="19"/>
        <v>0</v>
      </c>
      <c r="H76" s="4">
        <f t="shared" si="19"/>
        <v>0</v>
      </c>
      <c r="I76" s="4">
        <f t="shared" si="19"/>
        <v>0</v>
      </c>
      <c r="J76" s="4">
        <f t="shared" si="19"/>
        <v>0</v>
      </c>
      <c r="K76" s="4">
        <f t="shared" si="19"/>
        <v>0</v>
      </c>
      <c r="AC76" s="7"/>
    </row>
    <row r="77" spans="1:29" x14ac:dyDescent="0.25">
      <c r="A77" s="7"/>
      <c r="B77" s="4">
        <f>(1-e1_)*(e2_)*(1-e3_)</f>
        <v>0.1275</v>
      </c>
      <c r="C77" s="1" t="s">
        <v>20</v>
      </c>
      <c r="D77" s="4">
        <f t="shared" si="19"/>
        <v>0</v>
      </c>
      <c r="E77" s="4">
        <f t="shared" si="19"/>
        <v>0</v>
      </c>
      <c r="F77" s="4">
        <f t="shared" si="19"/>
        <v>0</v>
      </c>
      <c r="G77" s="4">
        <f t="shared" si="19"/>
        <v>0</v>
      </c>
      <c r="H77" s="4">
        <f t="shared" si="19"/>
        <v>0</v>
      </c>
      <c r="I77" s="4">
        <f t="shared" si="19"/>
        <v>0</v>
      </c>
      <c r="J77" s="4">
        <f t="shared" si="19"/>
        <v>0</v>
      </c>
      <c r="K77" s="4">
        <f t="shared" si="19"/>
        <v>0</v>
      </c>
      <c r="AC77" s="7"/>
    </row>
    <row r="78" spans="1:29" x14ac:dyDescent="0.25">
      <c r="A78" s="7"/>
      <c r="AC78" s="7"/>
    </row>
    <row r="79" spans="1:29" x14ac:dyDescent="0.25">
      <c r="A79" s="7"/>
      <c r="C79" s="1" t="s">
        <v>31</v>
      </c>
      <c r="D79" s="4">
        <f>p_221*(ep1_)*(ep2_)*(1-ep3_)</f>
        <v>0</v>
      </c>
      <c r="E79" s="4">
        <f>p_221*(ep1_)*(ep2_)*(ep3_)</f>
        <v>0</v>
      </c>
      <c r="F79" s="4">
        <f>p_221*(ep1_)*(1-ep2_)*(1-ep3_)</f>
        <v>0</v>
      </c>
      <c r="G79" s="4">
        <f>p_221*(ep1_)*(1-ep2_)*(ep3_)</f>
        <v>0</v>
      </c>
      <c r="H79" s="4">
        <f>p_221*(1-ep1_)*(ep2_)*(1-ep3_)</f>
        <v>0</v>
      </c>
      <c r="I79" s="4">
        <f>p_221*(1-ep1_)*(ep2_)*(ep3_)</f>
        <v>0</v>
      </c>
      <c r="J79" s="4">
        <f>p_221*(1-ep1_)*(1-ep2_)*(1-ep3_)</f>
        <v>0</v>
      </c>
      <c r="K79" s="4">
        <f>p_221*(1-ep1_)*(1-ep2_)*(ep3_)</f>
        <v>0</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f>(e1_)*(e2_)*(1-e3_)</f>
        <v>4.2500000000000003E-2</v>
      </c>
      <c r="C81" s="1" t="s">
        <v>13</v>
      </c>
      <c r="D81" s="4">
        <f t="shared" ref="D81:K88" si="20">row_221*col_221</f>
        <v>0</v>
      </c>
      <c r="E81" s="4">
        <f t="shared" si="20"/>
        <v>0</v>
      </c>
      <c r="F81" s="4">
        <f t="shared" si="20"/>
        <v>0</v>
      </c>
      <c r="G81" s="4">
        <f t="shared" si="20"/>
        <v>0</v>
      </c>
      <c r="H81" s="4">
        <f t="shared" si="20"/>
        <v>0</v>
      </c>
      <c r="I81" s="4">
        <f t="shared" si="20"/>
        <v>0</v>
      </c>
      <c r="J81" s="4">
        <f t="shared" si="20"/>
        <v>0</v>
      </c>
      <c r="K81" s="4">
        <f t="shared" si="20"/>
        <v>0</v>
      </c>
      <c r="AC81" s="7"/>
    </row>
    <row r="82" spans="1:29" x14ac:dyDescent="0.25">
      <c r="A82" s="7"/>
      <c r="B82" s="4">
        <f>(e1_)*(e2_)*(e3_)</f>
        <v>7.4999999999999997E-3</v>
      </c>
      <c r="C82" s="1" t="s">
        <v>14</v>
      </c>
      <c r="D82" s="4">
        <f t="shared" si="20"/>
        <v>0</v>
      </c>
      <c r="E82" s="4">
        <f t="shared" si="20"/>
        <v>0</v>
      </c>
      <c r="F82" s="4">
        <f t="shared" si="20"/>
        <v>0</v>
      </c>
      <c r="G82" s="4">
        <f t="shared" si="20"/>
        <v>0</v>
      </c>
      <c r="H82" s="4">
        <f t="shared" si="20"/>
        <v>0</v>
      </c>
      <c r="I82" s="4">
        <f t="shared" si="20"/>
        <v>0</v>
      </c>
      <c r="J82" s="4">
        <f t="shared" si="20"/>
        <v>0</v>
      </c>
      <c r="K82" s="4">
        <f t="shared" si="20"/>
        <v>0</v>
      </c>
      <c r="AC82" s="7"/>
    </row>
    <row r="83" spans="1:29" x14ac:dyDescent="0.25">
      <c r="A83" s="7"/>
      <c r="B83" s="4">
        <f>(e1_)*(1-e2_)*(1-e3_)</f>
        <v>0.17</v>
      </c>
      <c r="C83" s="1" t="s">
        <v>15</v>
      </c>
      <c r="D83" s="4">
        <f t="shared" si="20"/>
        <v>0</v>
      </c>
      <c r="E83" s="4">
        <f t="shared" si="20"/>
        <v>0</v>
      </c>
      <c r="F83" s="4">
        <f t="shared" si="20"/>
        <v>0</v>
      </c>
      <c r="G83" s="4">
        <f t="shared" si="20"/>
        <v>0</v>
      </c>
      <c r="H83" s="4">
        <f t="shared" si="20"/>
        <v>0</v>
      </c>
      <c r="I83" s="4">
        <f t="shared" si="20"/>
        <v>0</v>
      </c>
      <c r="J83" s="4">
        <f t="shared" si="20"/>
        <v>0</v>
      </c>
      <c r="K83" s="4">
        <f t="shared" si="20"/>
        <v>0</v>
      </c>
      <c r="AC83" s="7"/>
    </row>
    <row r="84" spans="1:29" x14ac:dyDescent="0.25">
      <c r="A84" s="7"/>
      <c r="B84" s="4">
        <f>(e1_)*(1-e2_)*(e3_)</f>
        <v>0.03</v>
      </c>
      <c r="C84" s="1" t="s">
        <v>16</v>
      </c>
      <c r="D84" s="4">
        <f t="shared" si="20"/>
        <v>0</v>
      </c>
      <c r="E84" s="4">
        <f t="shared" si="20"/>
        <v>0</v>
      </c>
      <c r="F84" s="4">
        <f t="shared" si="20"/>
        <v>0</v>
      </c>
      <c r="G84" s="4">
        <f t="shared" si="20"/>
        <v>0</v>
      </c>
      <c r="H84" s="4">
        <f t="shared" si="20"/>
        <v>0</v>
      </c>
      <c r="I84" s="4">
        <f t="shared" si="20"/>
        <v>0</v>
      </c>
      <c r="J84" s="4">
        <f t="shared" si="20"/>
        <v>0</v>
      </c>
      <c r="K84" s="4">
        <f t="shared" si="20"/>
        <v>0</v>
      </c>
      <c r="AC84" s="7"/>
    </row>
    <row r="85" spans="1:29" x14ac:dyDescent="0.25">
      <c r="A85" s="7"/>
      <c r="B85" s="4">
        <f>(1-e1_)*(e2_)*(1-e3_)</f>
        <v>0.1275</v>
      </c>
      <c r="C85" s="1" t="s">
        <v>17</v>
      </c>
      <c r="D85" s="4">
        <f t="shared" si="20"/>
        <v>0</v>
      </c>
      <c r="E85" s="4">
        <f t="shared" si="20"/>
        <v>0</v>
      </c>
      <c r="F85" s="4">
        <f t="shared" si="20"/>
        <v>0</v>
      </c>
      <c r="G85" s="4">
        <f t="shared" si="20"/>
        <v>0</v>
      </c>
      <c r="H85" s="4">
        <f t="shared" si="20"/>
        <v>0</v>
      </c>
      <c r="I85" s="4">
        <f t="shared" si="20"/>
        <v>0</v>
      </c>
      <c r="J85" s="4">
        <f t="shared" si="20"/>
        <v>0</v>
      </c>
      <c r="K85" s="4">
        <f t="shared" si="20"/>
        <v>0</v>
      </c>
      <c r="AC85" s="7"/>
    </row>
    <row r="86" spans="1:29" x14ac:dyDescent="0.25">
      <c r="A86" s="7"/>
      <c r="B86" s="4">
        <f>(1-e1_)*(e2_)*(e3_)</f>
        <v>2.2500000000000003E-2</v>
      </c>
      <c r="C86" s="1" t="s">
        <v>18</v>
      </c>
      <c r="D86" s="4">
        <f t="shared" si="20"/>
        <v>0</v>
      </c>
      <c r="E86" s="4">
        <f t="shared" si="20"/>
        <v>0</v>
      </c>
      <c r="F86" s="4">
        <f t="shared" si="20"/>
        <v>0</v>
      </c>
      <c r="G86" s="4">
        <f t="shared" si="20"/>
        <v>0</v>
      </c>
      <c r="H86" s="4">
        <f t="shared" si="20"/>
        <v>0</v>
      </c>
      <c r="I86" s="4">
        <f t="shared" si="20"/>
        <v>0</v>
      </c>
      <c r="J86" s="4">
        <f t="shared" si="20"/>
        <v>0</v>
      </c>
      <c r="K86" s="4">
        <f t="shared" si="20"/>
        <v>0</v>
      </c>
      <c r="AC86" s="7"/>
    </row>
    <row r="87" spans="1:29" x14ac:dyDescent="0.25">
      <c r="A87" s="7"/>
      <c r="B87" s="4">
        <f>(1-e1_)*(1-e2_)*(1-e3_)</f>
        <v>0.51</v>
      </c>
      <c r="C87" s="1" t="s">
        <v>19</v>
      </c>
      <c r="D87" s="4">
        <f t="shared" si="20"/>
        <v>0</v>
      </c>
      <c r="E87" s="4">
        <f t="shared" si="20"/>
        <v>0</v>
      </c>
      <c r="F87" s="4">
        <f t="shared" si="20"/>
        <v>0</v>
      </c>
      <c r="G87" s="4">
        <f t="shared" si="20"/>
        <v>0</v>
      </c>
      <c r="H87" s="4">
        <f t="shared" si="20"/>
        <v>0</v>
      </c>
      <c r="I87" s="4">
        <f t="shared" si="20"/>
        <v>0</v>
      </c>
      <c r="J87" s="4">
        <f t="shared" si="20"/>
        <v>0</v>
      </c>
      <c r="K87" s="4">
        <f t="shared" si="20"/>
        <v>0</v>
      </c>
      <c r="AC87" s="7"/>
    </row>
    <row r="88" spans="1:29" x14ac:dyDescent="0.25">
      <c r="A88" s="7"/>
      <c r="B88" s="4">
        <f>(1-e1_)*(1-e2_)*(e3_)</f>
        <v>9.0000000000000011E-2</v>
      </c>
      <c r="C88" s="1" t="s">
        <v>20</v>
      </c>
      <c r="D88" s="4">
        <f t="shared" si="20"/>
        <v>0</v>
      </c>
      <c r="E88" s="4">
        <f t="shared" si="20"/>
        <v>0</v>
      </c>
      <c r="F88" s="4">
        <f t="shared" si="20"/>
        <v>0</v>
      </c>
      <c r="G88" s="4">
        <f t="shared" si="20"/>
        <v>0</v>
      </c>
      <c r="H88" s="4">
        <f t="shared" si="20"/>
        <v>0</v>
      </c>
      <c r="I88" s="4">
        <f t="shared" si="20"/>
        <v>0</v>
      </c>
      <c r="J88" s="4">
        <f t="shared" si="20"/>
        <v>0</v>
      </c>
      <c r="K88" s="4">
        <f t="shared" si="20"/>
        <v>0</v>
      </c>
      <c r="AC88" s="7"/>
    </row>
    <row r="89" spans="1:29" x14ac:dyDescent="0.25">
      <c r="A89" s="7"/>
      <c r="AC89" s="7"/>
    </row>
    <row r="90" spans="1:29" x14ac:dyDescent="0.25">
      <c r="A90" s="7"/>
      <c r="C90" s="1" t="s">
        <v>32</v>
      </c>
      <c r="D90" s="4">
        <f>p_222*(ep1_)*(ep2_)*(ep3_)</f>
        <v>4.9320213886957977E-3</v>
      </c>
      <c r="E90" s="4">
        <f>p_222*(ep1_)*(ep2_)*(1-ep3_)</f>
        <v>2.7948121202609519E-2</v>
      </c>
      <c r="F90" s="4">
        <f>p_222*(ep1_)*(1-ep2_)*(ep3_)</f>
        <v>1.9728085554783191E-2</v>
      </c>
      <c r="G90" s="4">
        <f>p_222*(ep1_)*(1-ep2_)*(1-ep3_)</f>
        <v>0.11179248481043808</v>
      </c>
      <c r="H90" s="4">
        <f>p_222*(1-ep1_)*(ep2_)*(ep3_)</f>
        <v>1.4796064166087393E-2</v>
      </c>
      <c r="I90" s="4">
        <f>p_222*(1-ep1_)*(ep2_)*(1-ep3_)</f>
        <v>8.384436360782857E-2</v>
      </c>
      <c r="J90" s="4">
        <f>p_222*(1-ep1_)*(1-ep2_)*(ep3_)</f>
        <v>5.9184256664349573E-2</v>
      </c>
      <c r="K90" s="4">
        <f>p_222*(1-ep1_)*(1-ep2_)*(1-ep3_)</f>
        <v>0.33537745443131428</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f>(e1_)*(e2_)*(e3_)</f>
        <v>7.4999999999999997E-3</v>
      </c>
      <c r="C92" s="1" t="s">
        <v>13</v>
      </c>
      <c r="D92" s="4">
        <f t="shared" ref="D92:K99" si="21">row_222*col_222</f>
        <v>3.6990160415218479E-5</v>
      </c>
      <c r="E92" s="4">
        <f t="shared" si="21"/>
        <v>2.0961090901957139E-4</v>
      </c>
      <c r="F92" s="4">
        <f t="shared" si="21"/>
        <v>1.4796064166087392E-4</v>
      </c>
      <c r="G92" s="4">
        <f t="shared" si="21"/>
        <v>8.3844363607828555E-4</v>
      </c>
      <c r="H92" s="4">
        <f t="shared" si="21"/>
        <v>1.1097048124565544E-4</v>
      </c>
      <c r="I92" s="4">
        <f t="shared" si="21"/>
        <v>6.288327270587143E-4</v>
      </c>
      <c r="J92" s="4">
        <f t="shared" si="21"/>
        <v>4.4388192498262178E-4</v>
      </c>
      <c r="K92" s="4">
        <f t="shared" si="21"/>
        <v>2.5153309082348572E-3</v>
      </c>
      <c r="AC92" s="7"/>
    </row>
    <row r="93" spans="1:29" x14ac:dyDescent="0.25">
      <c r="A93" s="7"/>
      <c r="B93" s="4">
        <f>(e1_)*(e2_)*(1-e3_)</f>
        <v>4.2500000000000003E-2</v>
      </c>
      <c r="C93" s="1" t="s">
        <v>14</v>
      </c>
      <c r="D93" s="4">
        <f t="shared" si="21"/>
        <v>2.0961090901957142E-4</v>
      </c>
      <c r="E93" s="4">
        <f t="shared" si="21"/>
        <v>1.1877951511109046E-3</v>
      </c>
      <c r="F93" s="4">
        <f t="shared" si="21"/>
        <v>8.3844363607828566E-4</v>
      </c>
      <c r="G93" s="4">
        <f t="shared" si="21"/>
        <v>4.7511806044436182E-3</v>
      </c>
      <c r="H93" s="4">
        <f t="shared" si="21"/>
        <v>6.288327270587143E-4</v>
      </c>
      <c r="I93" s="4">
        <f t="shared" si="21"/>
        <v>3.5633854533327143E-3</v>
      </c>
      <c r="J93" s="4">
        <f t="shared" si="21"/>
        <v>2.5153309082348572E-3</v>
      </c>
      <c r="K93" s="4">
        <f t="shared" si="21"/>
        <v>1.4253541813330857E-2</v>
      </c>
      <c r="AC93" s="7"/>
    </row>
    <row r="94" spans="1:29" x14ac:dyDescent="0.25">
      <c r="A94" s="7"/>
      <c r="B94" s="4">
        <f>(e1_)*(1-e2_)*(e3_)</f>
        <v>0.03</v>
      </c>
      <c r="C94" s="1" t="s">
        <v>15</v>
      </c>
      <c r="D94" s="4">
        <f t="shared" si="21"/>
        <v>1.4796064166087392E-4</v>
      </c>
      <c r="E94" s="4">
        <f t="shared" si="21"/>
        <v>8.3844363607828555E-4</v>
      </c>
      <c r="F94" s="4">
        <f t="shared" si="21"/>
        <v>5.9184256664349566E-4</v>
      </c>
      <c r="G94" s="4">
        <f t="shared" si="21"/>
        <v>3.3537745443131422E-3</v>
      </c>
      <c r="H94" s="4">
        <f t="shared" si="21"/>
        <v>4.4388192498262178E-4</v>
      </c>
      <c r="I94" s="4">
        <f t="shared" si="21"/>
        <v>2.5153309082348572E-3</v>
      </c>
      <c r="J94" s="4">
        <f t="shared" si="21"/>
        <v>1.7755276999304871E-3</v>
      </c>
      <c r="K94" s="4">
        <f t="shared" si="21"/>
        <v>1.0061323632939429E-2</v>
      </c>
      <c r="AC94" s="7"/>
    </row>
    <row r="95" spans="1:29" x14ac:dyDescent="0.25">
      <c r="A95" s="7"/>
      <c r="B95" s="4">
        <f>(e1_)*(1-e2_)*(1-e3_)</f>
        <v>0.17</v>
      </c>
      <c r="C95" s="1" t="s">
        <v>16</v>
      </c>
      <c r="D95" s="4">
        <f t="shared" si="21"/>
        <v>8.3844363607828566E-4</v>
      </c>
      <c r="E95" s="4">
        <f t="shared" si="21"/>
        <v>4.7511806044436182E-3</v>
      </c>
      <c r="F95" s="4">
        <f t="shared" si="21"/>
        <v>3.3537745443131426E-3</v>
      </c>
      <c r="G95" s="4">
        <f t="shared" si="21"/>
        <v>1.9004722417774473E-2</v>
      </c>
      <c r="H95" s="4">
        <f t="shared" si="21"/>
        <v>2.5153309082348572E-3</v>
      </c>
      <c r="I95" s="4">
        <f t="shared" si="21"/>
        <v>1.4253541813330857E-2</v>
      </c>
      <c r="J95" s="4">
        <f t="shared" si="21"/>
        <v>1.0061323632939429E-2</v>
      </c>
      <c r="K95" s="4">
        <f t="shared" si="21"/>
        <v>5.7014167253323429E-2</v>
      </c>
      <c r="AC95" s="7"/>
    </row>
    <row r="96" spans="1:29" x14ac:dyDescent="0.25">
      <c r="A96" s="7"/>
      <c r="B96" s="4">
        <f>(1-e1_)*(e2_)*(e3_)</f>
        <v>2.2500000000000003E-2</v>
      </c>
      <c r="C96" s="1" t="s">
        <v>17</v>
      </c>
      <c r="D96" s="4">
        <f t="shared" si="21"/>
        <v>1.1097048124565546E-4</v>
      </c>
      <c r="E96" s="4">
        <f t="shared" si="21"/>
        <v>6.288327270587143E-4</v>
      </c>
      <c r="F96" s="4">
        <f t="shared" si="21"/>
        <v>4.4388192498262183E-4</v>
      </c>
      <c r="G96" s="4">
        <f t="shared" si="21"/>
        <v>2.5153309082348572E-3</v>
      </c>
      <c r="H96" s="4">
        <f t="shared" si="21"/>
        <v>3.3291144373696641E-4</v>
      </c>
      <c r="I96" s="4">
        <f t="shared" si="21"/>
        <v>1.886498181176143E-3</v>
      </c>
      <c r="J96" s="4">
        <f t="shared" si="21"/>
        <v>1.3316457749478657E-3</v>
      </c>
      <c r="K96" s="4">
        <f t="shared" si="21"/>
        <v>7.545992724704572E-3</v>
      </c>
      <c r="AC96" s="7"/>
    </row>
    <row r="97" spans="1:29" x14ac:dyDescent="0.25">
      <c r="A97" s="7"/>
      <c r="B97" s="4">
        <f>(1-e1_)*(e2_)*(1-e3_)</f>
        <v>0.1275</v>
      </c>
      <c r="C97" s="1" t="s">
        <v>18</v>
      </c>
      <c r="D97" s="4">
        <f t="shared" si="21"/>
        <v>6.2883272705871419E-4</v>
      </c>
      <c r="E97" s="4">
        <f t="shared" si="21"/>
        <v>3.5633854533327139E-3</v>
      </c>
      <c r="F97" s="4">
        <f t="shared" si="21"/>
        <v>2.5153309082348568E-3</v>
      </c>
      <c r="G97" s="4">
        <f t="shared" si="21"/>
        <v>1.4253541813330856E-2</v>
      </c>
      <c r="H97" s="4">
        <f t="shared" si="21"/>
        <v>1.8864981811761426E-3</v>
      </c>
      <c r="I97" s="4">
        <f t="shared" si="21"/>
        <v>1.0690156359998143E-2</v>
      </c>
      <c r="J97" s="4">
        <f t="shared" si="21"/>
        <v>7.5459927247045703E-3</v>
      </c>
      <c r="K97" s="4">
        <f t="shared" si="21"/>
        <v>4.2760625439992574E-2</v>
      </c>
      <c r="AC97" s="7"/>
    </row>
    <row r="98" spans="1:29" x14ac:dyDescent="0.25">
      <c r="A98" s="7"/>
      <c r="B98" s="4">
        <f>(1-e1_)*(1-e2_)*(e3_)</f>
        <v>9.0000000000000011E-2</v>
      </c>
      <c r="C98" s="1" t="s">
        <v>19</v>
      </c>
      <c r="D98" s="4">
        <f t="shared" si="21"/>
        <v>4.4388192498262183E-4</v>
      </c>
      <c r="E98" s="4">
        <f t="shared" si="21"/>
        <v>2.5153309082348572E-3</v>
      </c>
      <c r="F98" s="4">
        <f t="shared" si="21"/>
        <v>1.7755276999304873E-3</v>
      </c>
      <c r="G98" s="4">
        <f t="shared" si="21"/>
        <v>1.0061323632939429E-2</v>
      </c>
      <c r="H98" s="4">
        <f t="shared" si="21"/>
        <v>1.3316457749478657E-3</v>
      </c>
      <c r="I98" s="4">
        <f t="shared" si="21"/>
        <v>7.545992724704572E-3</v>
      </c>
      <c r="J98" s="4">
        <f t="shared" si="21"/>
        <v>5.3265830997914626E-3</v>
      </c>
      <c r="K98" s="4">
        <f t="shared" si="21"/>
        <v>3.0183970898818288E-2</v>
      </c>
      <c r="AC98" s="7"/>
    </row>
    <row r="99" spans="1:29" x14ac:dyDescent="0.25">
      <c r="A99" s="7"/>
      <c r="B99" s="4">
        <f>(1-e1_)*(1-e2_)*(1-e3_)</f>
        <v>0.51</v>
      </c>
      <c r="C99" s="1" t="s">
        <v>20</v>
      </c>
      <c r="D99" s="4">
        <f t="shared" si="21"/>
        <v>2.5153309082348568E-3</v>
      </c>
      <c r="E99" s="4">
        <f t="shared" si="21"/>
        <v>1.4253541813330856E-2</v>
      </c>
      <c r="F99" s="4">
        <f t="shared" si="21"/>
        <v>1.0061323632939427E-2</v>
      </c>
      <c r="G99" s="4">
        <f t="shared" si="21"/>
        <v>5.7014167253323422E-2</v>
      </c>
      <c r="H99" s="4">
        <f t="shared" si="21"/>
        <v>7.5459927247045703E-3</v>
      </c>
      <c r="I99" s="4">
        <f t="shared" si="21"/>
        <v>4.2760625439992574E-2</v>
      </c>
      <c r="J99" s="4">
        <f t="shared" si="21"/>
        <v>3.0183970898818281E-2</v>
      </c>
      <c r="K99" s="4">
        <f t="shared" si="21"/>
        <v>0.17104250175997029</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f>D15+D26+D37+D48+D59+D70+D81+D92</f>
        <v>8.8946583045375435E-2</v>
      </c>
      <c r="E103" s="4">
        <f t="shared" ref="E103:K103" si="22">E15+E26+E37+E48+E59+E70+E81+E92</f>
        <v>1.5916235234649957E-2</v>
      </c>
      <c r="F103" s="4">
        <f t="shared" si="22"/>
        <v>2.2388682306597421E-2</v>
      </c>
      <c r="G103" s="4">
        <f t="shared" si="22"/>
        <v>4.7674509134323232E-3</v>
      </c>
      <c r="H103" s="4">
        <f t="shared" si="22"/>
        <v>2.974750144289906E-2</v>
      </c>
      <c r="I103" s="4">
        <f t="shared" si="22"/>
        <v>5.8643741689355109E-3</v>
      </c>
      <c r="J103" s="4">
        <f t="shared" si="22"/>
        <v>7.8574558132948041E-3</v>
      </c>
      <c r="K103" s="4">
        <f t="shared" si="22"/>
        <v>3.8250000006862031E-3</v>
      </c>
      <c r="L103" s="7">
        <f>SUM(D103:K103)</f>
        <v>0.17931328292587073</v>
      </c>
      <c r="AC103" s="7"/>
    </row>
    <row r="104" spans="1:29" x14ac:dyDescent="0.25">
      <c r="A104" s="7"/>
      <c r="C104" s="1" t="s">
        <v>14</v>
      </c>
      <c r="D104" s="4">
        <f t="shared" ref="D104:K110" si="23">D16+D27+D38+D49+D60+D71+D82+D93</f>
        <v>1.591623523464996E-2</v>
      </c>
      <c r="E104" s="4">
        <f t="shared" si="23"/>
        <v>4.0541640119909992E-3</v>
      </c>
      <c r="F104" s="4">
        <f t="shared" si="23"/>
        <v>4.767450913432324E-3</v>
      </c>
      <c r="G104" s="4">
        <f t="shared" si="23"/>
        <v>5.4681877365953665E-3</v>
      </c>
      <c r="H104" s="4">
        <f t="shared" si="23"/>
        <v>5.8643741689355109E-3</v>
      </c>
      <c r="I104" s="4">
        <f t="shared" si="23"/>
        <v>4.5188417402927455E-3</v>
      </c>
      <c r="J104" s="4">
        <f t="shared" si="23"/>
        <v>3.8250000006862031E-3</v>
      </c>
      <c r="K104" s="4">
        <f t="shared" si="23"/>
        <v>1.4492544190714773E-2</v>
      </c>
      <c r="L104" s="7">
        <f t="shared" ref="L104:L111" si="24">SUM(D104:K104)</f>
        <v>5.890679799729788E-2</v>
      </c>
      <c r="T104" s="6"/>
      <c r="AC104" s="7"/>
    </row>
    <row r="105" spans="1:29" x14ac:dyDescent="0.25">
      <c r="A105" s="7"/>
      <c r="C105" s="1" t="s">
        <v>15</v>
      </c>
      <c r="D105" s="4">
        <f t="shared" si="23"/>
        <v>2.2388682306597421E-2</v>
      </c>
      <c r="E105" s="4">
        <f t="shared" si="23"/>
        <v>4.7674509134323232E-3</v>
      </c>
      <c r="F105" s="4">
        <f t="shared" si="23"/>
        <v>6.2053167576636139E-3</v>
      </c>
      <c r="G105" s="4">
        <f t="shared" si="23"/>
        <v>4.3454311474374133E-3</v>
      </c>
      <c r="H105" s="4">
        <f t="shared" si="23"/>
        <v>7.8574558132948041E-3</v>
      </c>
      <c r="I105" s="4">
        <f t="shared" si="23"/>
        <v>3.8250000006862031E-3</v>
      </c>
      <c r="J105" s="4">
        <f t="shared" si="23"/>
        <v>3.64668576360386E-3</v>
      </c>
      <c r="K105" s="4">
        <f t="shared" si="23"/>
        <v>1.0391875833980853E-2</v>
      </c>
      <c r="L105" s="7">
        <f t="shared" si="24"/>
        <v>6.3427898536696489E-2</v>
      </c>
      <c r="AC105" s="7"/>
    </row>
    <row r="106" spans="1:29" x14ac:dyDescent="0.25">
      <c r="A106" s="7"/>
      <c r="C106" s="1" t="s">
        <v>16</v>
      </c>
      <c r="D106" s="4">
        <f t="shared" si="23"/>
        <v>4.767450913432324E-3</v>
      </c>
      <c r="E106" s="4">
        <f t="shared" si="23"/>
        <v>5.4681877365953665E-3</v>
      </c>
      <c r="F106" s="4">
        <f t="shared" si="23"/>
        <v>4.3454311474374133E-3</v>
      </c>
      <c r="G106" s="4">
        <f t="shared" si="23"/>
        <v>1.918563386853931E-2</v>
      </c>
      <c r="H106" s="4">
        <f t="shared" si="23"/>
        <v>3.8250000006862031E-3</v>
      </c>
      <c r="I106" s="4">
        <f t="shared" si="23"/>
        <v>1.4492544190714773E-2</v>
      </c>
      <c r="J106" s="4">
        <f t="shared" si="23"/>
        <v>1.0391875833980853E-2</v>
      </c>
      <c r="K106" s="4">
        <f t="shared" si="23"/>
        <v>5.7074471070245041E-2</v>
      </c>
      <c r="L106" s="7">
        <f t="shared" si="24"/>
        <v>0.11955059476163128</v>
      </c>
      <c r="AC106" s="7"/>
    </row>
    <row r="107" spans="1:29" x14ac:dyDescent="0.25">
      <c r="A107" s="7"/>
      <c r="C107" s="1" t="s">
        <v>17</v>
      </c>
      <c r="D107" s="4">
        <f t="shared" si="23"/>
        <v>2.9747501442899064E-2</v>
      </c>
      <c r="E107" s="4">
        <f t="shared" si="23"/>
        <v>5.8643741689355109E-3</v>
      </c>
      <c r="F107" s="4">
        <f t="shared" si="23"/>
        <v>7.8574558132948041E-3</v>
      </c>
      <c r="G107" s="4">
        <f t="shared" si="23"/>
        <v>3.8250000006862031E-3</v>
      </c>
      <c r="H107" s="4">
        <f t="shared" si="23"/>
        <v>1.0211755097621435E-2</v>
      </c>
      <c r="I107" s="4">
        <f t="shared" si="23"/>
        <v>3.631678661801742E-3</v>
      </c>
      <c r="J107" s="4">
        <f t="shared" si="23"/>
        <v>3.8028370710519264E-3</v>
      </c>
      <c r="K107" s="4">
        <f t="shared" si="23"/>
        <v>7.9825490888550208E-3</v>
      </c>
      <c r="L107" s="7">
        <f t="shared" si="24"/>
        <v>7.2923151345145723E-2</v>
      </c>
      <c r="AC107" s="7"/>
    </row>
    <row r="108" spans="1:29" x14ac:dyDescent="0.25">
      <c r="A108" s="7"/>
      <c r="C108" s="1" t="s">
        <v>18</v>
      </c>
      <c r="D108" s="4">
        <f t="shared" si="23"/>
        <v>5.86437416893551E-3</v>
      </c>
      <c r="E108" s="4">
        <f t="shared" si="23"/>
        <v>4.5188417402927455E-3</v>
      </c>
      <c r="F108" s="4">
        <f t="shared" si="23"/>
        <v>3.8250000006862022E-3</v>
      </c>
      <c r="G108" s="4">
        <f t="shared" si="23"/>
        <v>1.4492544190714772E-2</v>
      </c>
      <c r="H108" s="4">
        <f t="shared" si="23"/>
        <v>3.6316786618017412E-3</v>
      </c>
      <c r="I108" s="4">
        <f t="shared" si="23"/>
        <v>1.100864178898482E-2</v>
      </c>
      <c r="J108" s="4">
        <f t="shared" si="23"/>
        <v>7.9825490888550191E-3</v>
      </c>
      <c r="K108" s="4">
        <f t="shared" si="23"/>
        <v>4.2840292899120544E-2</v>
      </c>
      <c r="L108" s="7">
        <f t="shared" si="24"/>
        <v>9.4163922539391348E-2</v>
      </c>
      <c r="AC108" s="7"/>
    </row>
    <row r="109" spans="1:29" x14ac:dyDescent="0.25">
      <c r="A109" s="7"/>
      <c r="C109" s="1" t="s">
        <v>19</v>
      </c>
      <c r="D109" s="4">
        <f t="shared" si="23"/>
        <v>7.8574558132948041E-3</v>
      </c>
      <c r="E109" s="4">
        <f t="shared" si="23"/>
        <v>3.8250000006862031E-3</v>
      </c>
      <c r="F109" s="4">
        <f t="shared" si="23"/>
        <v>3.64668576360386E-3</v>
      </c>
      <c r="G109" s="4">
        <f t="shared" si="23"/>
        <v>1.0391875833980853E-2</v>
      </c>
      <c r="H109" s="4">
        <f t="shared" si="23"/>
        <v>3.8028370710519264E-3</v>
      </c>
      <c r="I109" s="4">
        <f t="shared" si="23"/>
        <v>7.9825490888550208E-3</v>
      </c>
      <c r="J109" s="4">
        <f t="shared" si="23"/>
        <v>5.9503024543492537E-3</v>
      </c>
      <c r="K109" s="4">
        <f t="shared" si="23"/>
        <v>3.0294154965832095E-2</v>
      </c>
      <c r="L109" s="7">
        <f t="shared" si="24"/>
        <v>7.375086099165401E-2</v>
      </c>
      <c r="AC109" s="7"/>
    </row>
    <row r="110" spans="1:29" x14ac:dyDescent="0.25">
      <c r="A110" s="7"/>
      <c r="C110" s="1" t="s">
        <v>20</v>
      </c>
      <c r="D110" s="4">
        <f t="shared" si="23"/>
        <v>3.8250000006862022E-3</v>
      </c>
      <c r="E110" s="4">
        <f t="shared" si="23"/>
        <v>1.4492544190714772E-2</v>
      </c>
      <c r="F110" s="4">
        <f t="shared" si="23"/>
        <v>1.0391875833980851E-2</v>
      </c>
      <c r="G110" s="4">
        <f t="shared" si="23"/>
        <v>5.7074471070245034E-2</v>
      </c>
      <c r="H110" s="4">
        <f t="shared" si="23"/>
        <v>7.9825490888550191E-3</v>
      </c>
      <c r="I110" s="4">
        <f t="shared" si="23"/>
        <v>4.2840292899120544E-2</v>
      </c>
      <c r="J110" s="4">
        <f t="shared" si="23"/>
        <v>3.0294154965832088E-2</v>
      </c>
      <c r="K110" s="4">
        <f t="shared" si="23"/>
        <v>0.17106260303227749</v>
      </c>
      <c r="L110" s="7">
        <f t="shared" si="24"/>
        <v>0.33796349108171203</v>
      </c>
      <c r="AC110" s="7"/>
    </row>
    <row r="111" spans="1:29" x14ac:dyDescent="0.25">
      <c r="A111" s="7"/>
      <c r="D111" s="3">
        <f>SUM(D103:D110)</f>
        <v>0.17931328292587073</v>
      </c>
      <c r="E111" s="3">
        <f t="shared" ref="E111:K111" si="25">SUM(E103:E110)</f>
        <v>5.890679799729788E-2</v>
      </c>
      <c r="F111" s="3">
        <f t="shared" si="25"/>
        <v>6.3427898536696489E-2</v>
      </c>
      <c r="G111" s="3">
        <f t="shared" si="25"/>
        <v>0.11955059476163127</v>
      </c>
      <c r="H111" s="3">
        <f t="shared" si="25"/>
        <v>7.2923151345145709E-2</v>
      </c>
      <c r="I111" s="3">
        <f t="shared" si="25"/>
        <v>9.4163922539391362E-2</v>
      </c>
      <c r="J111" s="3">
        <f t="shared" si="25"/>
        <v>7.3750860991653996E-2</v>
      </c>
      <c r="K111" s="3">
        <f t="shared" si="25"/>
        <v>0.33796349108171203</v>
      </c>
      <c r="L111" s="7">
        <f t="shared" si="24"/>
        <v>1.0000000001793994</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f>(L119+L120+L121+L122)/$L$12</f>
        <v>0.57880142595790307</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f>(L117+L118+L121+L122)/$L$12</f>
        <v>0.59469284537169376</v>
      </c>
      <c r="R114" t="s">
        <v>58</v>
      </c>
      <c r="W114" s="1" t="s">
        <v>45</v>
      </c>
      <c r="X114" s="7" t="s">
        <v>47</v>
      </c>
      <c r="Y114" s="7" t="s">
        <v>48</v>
      </c>
      <c r="Z114" s="7" t="s">
        <v>49</v>
      </c>
      <c r="AA114" s="7" t="s">
        <v>50</v>
      </c>
      <c r="AB114" s="7"/>
      <c r="AC114" s="7"/>
    </row>
    <row r="115" spans="1:29" x14ac:dyDescent="0.25">
      <c r="A115" s="7"/>
      <c r="C115" s="1" t="s">
        <v>13</v>
      </c>
      <c r="D115" s="5">
        <f t="shared" ref="D115:K122" si="26">$L$12*D103</f>
        <v>17.789316609075087</v>
      </c>
      <c r="E115" s="5">
        <f t="shared" si="26"/>
        <v>3.1832470469299912</v>
      </c>
      <c r="F115" s="5">
        <f t="shared" si="26"/>
        <v>4.4777364613194841</v>
      </c>
      <c r="G115" s="5">
        <f t="shared" si="26"/>
        <v>0.95349018268646468</v>
      </c>
      <c r="H115" s="5">
        <f t="shared" si="26"/>
        <v>5.9495002885798121</v>
      </c>
      <c r="I115" s="5">
        <f t="shared" si="26"/>
        <v>1.1728748337871022</v>
      </c>
      <c r="J115" s="5">
        <f t="shared" si="26"/>
        <v>1.5714911626589607</v>
      </c>
      <c r="K115" s="5">
        <f t="shared" si="26"/>
        <v>0.76500000013724057</v>
      </c>
      <c r="L115" s="13">
        <f>SUM(D115:K115)</f>
        <v>35.862656585174143</v>
      </c>
      <c r="N115" t="s">
        <v>38</v>
      </c>
      <c r="O115" s="8">
        <f>(L116+L118+L120+L122)/$L$12</f>
        <v>0.61058480638003254</v>
      </c>
      <c r="W115" s="1" t="s">
        <v>13</v>
      </c>
      <c r="X115" s="5">
        <f t="shared" ref="X115:X122" si="27">L115</f>
        <v>35.862656585174143</v>
      </c>
      <c r="Y115" s="5">
        <f>D115</f>
        <v>17.789316609075087</v>
      </c>
      <c r="Z115" s="5">
        <f>X115-Y115</f>
        <v>18.073339976099057</v>
      </c>
      <c r="AA115" s="8">
        <f t="shared" ref="AA115:AB122" si="28">POWER(AA4-Y115,2)/Y115</f>
        <v>3.5022183429124186E-2</v>
      </c>
      <c r="AB115" s="8">
        <f t="shared" si="28"/>
        <v>4.7511904331555561E-2</v>
      </c>
      <c r="AC115" s="7"/>
    </row>
    <row r="116" spans="1:29" x14ac:dyDescent="0.25">
      <c r="A116" s="7"/>
      <c r="C116" s="1" t="s">
        <v>14</v>
      </c>
      <c r="D116" s="5">
        <f t="shared" si="26"/>
        <v>3.1832470469299921</v>
      </c>
      <c r="E116" s="5">
        <f t="shared" si="26"/>
        <v>0.81083280239819988</v>
      </c>
      <c r="F116" s="5">
        <f t="shared" si="26"/>
        <v>0.95349018268646479</v>
      </c>
      <c r="G116" s="5">
        <f t="shared" si="26"/>
        <v>1.0936375473190734</v>
      </c>
      <c r="H116" s="5">
        <f t="shared" si="26"/>
        <v>1.1728748337871022</v>
      </c>
      <c r="I116" s="5">
        <f t="shared" si="26"/>
        <v>0.90376834805854911</v>
      </c>
      <c r="J116" s="5">
        <f t="shared" si="26"/>
        <v>0.76500000013724057</v>
      </c>
      <c r="K116" s="5">
        <f t="shared" si="26"/>
        <v>2.8985088381429547</v>
      </c>
      <c r="L116" s="13">
        <f t="shared" ref="L116:L123" si="29">SUM(D116:K116)</f>
        <v>11.781359599459574</v>
      </c>
      <c r="M116" s="10" t="s">
        <v>39</v>
      </c>
      <c r="N116" s="10">
        <v>1</v>
      </c>
      <c r="O116" s="10">
        <v>2</v>
      </c>
      <c r="P116" s="10" t="s">
        <v>39</v>
      </c>
      <c r="Q116" s="10">
        <v>1</v>
      </c>
      <c r="R116" s="10">
        <v>2</v>
      </c>
      <c r="S116" s="10" t="s">
        <v>11</v>
      </c>
      <c r="T116" s="10" t="s">
        <v>42</v>
      </c>
      <c r="U116" s="10" t="s">
        <v>43</v>
      </c>
      <c r="V116" s="10"/>
      <c r="W116" s="1" t="s">
        <v>14</v>
      </c>
      <c r="X116" s="5">
        <f t="shared" si="27"/>
        <v>11.781359599459574</v>
      </c>
      <c r="Y116" s="5">
        <f>E116</f>
        <v>0.81083280239819988</v>
      </c>
      <c r="Z116" s="5">
        <f t="shared" ref="Z116:Z122" si="30">X116-Y116</f>
        <v>10.970526797061375</v>
      </c>
      <c r="AA116" s="8">
        <f t="shared" si="28"/>
        <v>4.4132684990887752E-2</v>
      </c>
      <c r="AB116" s="8">
        <f t="shared" si="28"/>
        <v>0.80433962883380972</v>
      </c>
      <c r="AC116" s="7"/>
    </row>
    <row r="117" spans="1:29" x14ac:dyDescent="0.25">
      <c r="A117" s="7"/>
      <c r="C117" s="1" t="s">
        <v>15</v>
      </c>
      <c r="D117" s="5">
        <f t="shared" si="26"/>
        <v>4.4777364613194841</v>
      </c>
      <c r="E117" s="5">
        <f t="shared" si="26"/>
        <v>0.95349018268646468</v>
      </c>
      <c r="F117" s="5">
        <f t="shared" si="26"/>
        <v>1.2410633515327227</v>
      </c>
      <c r="G117" s="5">
        <f t="shared" si="26"/>
        <v>0.8690862294874826</v>
      </c>
      <c r="H117" s="5">
        <f t="shared" si="26"/>
        <v>1.5714911626589607</v>
      </c>
      <c r="I117" s="5">
        <f t="shared" si="26"/>
        <v>0.76500000013724057</v>
      </c>
      <c r="J117" s="5">
        <f t="shared" si="26"/>
        <v>0.72933715272077204</v>
      </c>
      <c r="K117" s="5">
        <f t="shared" si="26"/>
        <v>2.0783751667961705</v>
      </c>
      <c r="L117" s="13">
        <f t="shared" si="29"/>
        <v>12.685579707339297</v>
      </c>
      <c r="M117" s="10">
        <v>1</v>
      </c>
      <c r="N117" s="5">
        <f>D115+E115+F115+G115+D116+E116+F116+G116+D117+E117+F117+G117+D118+E118+F118+G118</f>
        <v>46.73971483757181</v>
      </c>
      <c r="O117" s="5">
        <f>H115+I115+J115+K115+H116+I116+J116+K116+H117+I117+J117+K117+H118+I118+J118+K118</f>
        <v>37.500000006727483</v>
      </c>
      <c r="P117" s="10">
        <v>1</v>
      </c>
      <c r="Q117">
        <f>POWER(N6-N117,2)/N117</f>
        <v>0.16059228040427384</v>
      </c>
      <c r="R117">
        <f>POWER(O6-O117,2)/O117</f>
        <v>6.6666668448702067E-3</v>
      </c>
      <c r="S117" s="25">
        <f>Q117+R117+Q118+R118</f>
        <v>0.352630136644563</v>
      </c>
      <c r="T117">
        <f>_xlfn.CHISQ.DIST(S117,1,TRUE)</f>
        <v>0.44737196365027099</v>
      </c>
      <c r="U117" s="25">
        <f>1-T117</f>
        <v>0.55262803634972901</v>
      </c>
      <c r="W117" s="1" t="s">
        <v>15</v>
      </c>
      <c r="X117" s="5">
        <f t="shared" si="27"/>
        <v>12.685579707339297</v>
      </c>
      <c r="Y117" s="5">
        <f>F117</f>
        <v>1.2410633515327227</v>
      </c>
      <c r="Z117" s="5">
        <f t="shared" si="30"/>
        <v>11.444516355806574</v>
      </c>
      <c r="AA117" s="8">
        <f t="shared" si="28"/>
        <v>1.2410633515327227</v>
      </c>
      <c r="AB117" s="8">
        <f t="shared" si="28"/>
        <v>0.21141385901604062</v>
      </c>
      <c r="AC117" s="7"/>
    </row>
    <row r="118" spans="1:29" x14ac:dyDescent="0.25">
      <c r="A118" s="7"/>
      <c r="C118" s="1" t="s">
        <v>16</v>
      </c>
      <c r="D118" s="5">
        <f t="shared" si="26"/>
        <v>0.95349018268646479</v>
      </c>
      <c r="E118" s="5">
        <f t="shared" si="26"/>
        <v>1.0936375473190734</v>
      </c>
      <c r="F118" s="5">
        <f t="shared" si="26"/>
        <v>0.8690862294874826</v>
      </c>
      <c r="G118" s="5">
        <f t="shared" si="26"/>
        <v>3.8371267737078623</v>
      </c>
      <c r="H118" s="5">
        <f t="shared" si="26"/>
        <v>0.76500000013724057</v>
      </c>
      <c r="I118" s="5">
        <f t="shared" si="26"/>
        <v>2.8985088381429547</v>
      </c>
      <c r="J118" s="5">
        <f t="shared" si="26"/>
        <v>2.0783751667961705</v>
      </c>
      <c r="K118" s="5">
        <f t="shared" si="26"/>
        <v>11.414894214049008</v>
      </c>
      <c r="L118" s="13">
        <f t="shared" si="29"/>
        <v>23.910118952326258</v>
      </c>
      <c r="M118" s="10">
        <v>2</v>
      </c>
      <c r="N118" s="5">
        <f>D119+E119+F119+G119+D120+E120+F120+G120+D121+E121+F121+G121+D122+E122+F122+G122</f>
        <v>37.500000006727475</v>
      </c>
      <c r="O118" s="5">
        <f>H119+I119+J119+K119+H120+I120+J120+K120+H121+I121+J121+K121+H122+I122+J122+K122</f>
        <v>78.260285184853132</v>
      </c>
      <c r="P118" s="10">
        <v>2</v>
      </c>
      <c r="Q118">
        <f>POWER(N7-N118,2)/N118</f>
        <v>6.6666668448700185E-3</v>
      </c>
      <c r="R118">
        <f>POWER(O7-O118,2)/O118</f>
        <v>0.17870452255054892</v>
      </c>
      <c r="W118" s="1" t="s">
        <v>16</v>
      </c>
      <c r="X118" s="5">
        <f t="shared" si="27"/>
        <v>23.910118952326258</v>
      </c>
      <c r="Y118" s="5">
        <f>G118</f>
        <v>3.8371267737078623</v>
      </c>
      <c r="Z118" s="5">
        <f t="shared" si="30"/>
        <v>20.072992178618396</v>
      </c>
      <c r="AA118" s="8">
        <f t="shared" si="28"/>
        <v>0.18263176501238215</v>
      </c>
      <c r="AB118" s="8">
        <f t="shared" si="28"/>
        <v>2.6542421239694356E-4</v>
      </c>
      <c r="AC118" s="7"/>
    </row>
    <row r="119" spans="1:29" x14ac:dyDescent="0.25">
      <c r="A119" s="7"/>
      <c r="C119" s="1" t="s">
        <v>17</v>
      </c>
      <c r="D119" s="5">
        <f t="shared" si="26"/>
        <v>5.9495002885798129</v>
      </c>
      <c r="E119" s="5">
        <f t="shared" si="26"/>
        <v>1.1728748337871022</v>
      </c>
      <c r="F119" s="5">
        <f t="shared" si="26"/>
        <v>1.5714911626589607</v>
      </c>
      <c r="G119" s="5">
        <f t="shared" si="26"/>
        <v>0.76500000013724057</v>
      </c>
      <c r="H119" s="5">
        <f t="shared" si="26"/>
        <v>2.0423510195242871</v>
      </c>
      <c r="I119" s="5">
        <f t="shared" si="26"/>
        <v>0.72633573236034843</v>
      </c>
      <c r="J119" s="5">
        <f t="shared" si="26"/>
        <v>0.76056741421038532</v>
      </c>
      <c r="K119" s="5">
        <f t="shared" si="26"/>
        <v>1.5965098177710042</v>
      </c>
      <c r="L119" s="13">
        <f t="shared" si="29"/>
        <v>14.584630269029139</v>
      </c>
      <c r="M119" s="10" t="s">
        <v>40</v>
      </c>
      <c r="N119" s="10">
        <v>1</v>
      </c>
      <c r="O119" s="10">
        <v>2</v>
      </c>
      <c r="P119" s="10" t="s">
        <v>40</v>
      </c>
      <c r="Q119" s="10">
        <v>1</v>
      </c>
      <c r="R119" s="10">
        <v>2</v>
      </c>
      <c r="S119" s="10" t="s">
        <v>11</v>
      </c>
      <c r="T119" s="10" t="s">
        <v>42</v>
      </c>
      <c r="U119" s="10" t="s">
        <v>43</v>
      </c>
      <c r="W119" s="1" t="s">
        <v>17</v>
      </c>
      <c r="X119" s="5">
        <f t="shared" si="27"/>
        <v>14.584630269029139</v>
      </c>
      <c r="Y119" s="5">
        <f>H119</f>
        <v>2.0423510195242871</v>
      </c>
      <c r="Z119" s="5">
        <f t="shared" si="30"/>
        <v>12.542279249504851</v>
      </c>
      <c r="AA119" s="8">
        <f t="shared" si="28"/>
        <v>8.7820792684517189E-4</v>
      </c>
      <c r="AB119" s="8">
        <f t="shared" si="28"/>
        <v>1.6704163674406573E-2</v>
      </c>
      <c r="AC119" s="7"/>
    </row>
    <row r="120" spans="1:29" x14ac:dyDescent="0.25">
      <c r="A120" s="7"/>
      <c r="C120" s="1" t="s">
        <v>18</v>
      </c>
      <c r="D120" s="5">
        <f t="shared" si="26"/>
        <v>1.172874833787102</v>
      </c>
      <c r="E120" s="5">
        <f t="shared" si="26"/>
        <v>0.90376834805854911</v>
      </c>
      <c r="F120" s="5">
        <f t="shared" si="26"/>
        <v>0.76500000013724045</v>
      </c>
      <c r="G120" s="5">
        <f t="shared" si="26"/>
        <v>2.8985088381429542</v>
      </c>
      <c r="H120" s="5">
        <f t="shared" si="26"/>
        <v>0.72633573236034821</v>
      </c>
      <c r="I120" s="5">
        <f t="shared" si="26"/>
        <v>2.2017283577969637</v>
      </c>
      <c r="J120" s="5">
        <f t="shared" si="26"/>
        <v>1.5965098177710038</v>
      </c>
      <c r="K120" s="5">
        <f t="shared" si="26"/>
        <v>8.5680585798241093</v>
      </c>
      <c r="L120" s="13">
        <f t="shared" si="29"/>
        <v>18.832784507878273</v>
      </c>
      <c r="M120" s="10">
        <v>1</v>
      </c>
      <c r="N120" s="5">
        <f>D115+E115+H115+I115+D116+E116+H116+I116+D119+E119+H119+I119+D120+E120+H120+I120</f>
        <v>49.061430955800361</v>
      </c>
      <c r="O120" s="5">
        <f>F115+G115+J115+K115+F116+G116+J116+K116+F119+G119+J119+K119+F120+G120+J120+K120</f>
        <v>32.00000000574078</v>
      </c>
      <c r="P120" s="10">
        <v>1</v>
      </c>
      <c r="Q120">
        <f>POWER(N9-N120,2)/N120</f>
        <v>8.6615850837297836E-2</v>
      </c>
      <c r="R120">
        <f>POWER(O9-O120,2)/O120</f>
        <v>1.0298924498822739E-18</v>
      </c>
      <c r="S120" s="25">
        <f>Q120+R120+Q121+R121</f>
        <v>0.13082483558395464</v>
      </c>
      <c r="T120">
        <f>_xlfn.CHISQ.DIST(S120,1,TRUE)</f>
        <v>0.28242165046700435</v>
      </c>
      <c r="U120" s="25">
        <f>1-T120</f>
        <v>0.71757834953299571</v>
      </c>
      <c r="W120" s="1" t="s">
        <v>18</v>
      </c>
      <c r="X120" s="5">
        <f t="shared" si="27"/>
        <v>18.832784507878273</v>
      </c>
      <c r="Y120" s="5">
        <f>I120</f>
        <v>2.2017283577969637</v>
      </c>
      <c r="Z120" s="5">
        <f t="shared" si="30"/>
        <v>16.63105615008131</v>
      </c>
      <c r="AA120" s="8">
        <f t="shared" si="28"/>
        <v>1.8482902395906064E-2</v>
      </c>
      <c r="AB120" s="8">
        <f t="shared" si="28"/>
        <v>8.1846614649400528E-3</v>
      </c>
      <c r="AC120" s="7"/>
    </row>
    <row r="121" spans="1:29" x14ac:dyDescent="0.25">
      <c r="A121" s="7"/>
      <c r="C121" s="1" t="s">
        <v>19</v>
      </c>
      <c r="D121" s="5">
        <f t="shared" si="26"/>
        <v>1.5714911626589607</v>
      </c>
      <c r="E121" s="5">
        <f t="shared" si="26"/>
        <v>0.76500000013724057</v>
      </c>
      <c r="F121" s="5">
        <f t="shared" si="26"/>
        <v>0.72933715272077204</v>
      </c>
      <c r="G121" s="5">
        <f t="shared" si="26"/>
        <v>2.0783751667961705</v>
      </c>
      <c r="H121" s="5">
        <f t="shared" si="26"/>
        <v>0.76056741421038532</v>
      </c>
      <c r="I121" s="5">
        <f t="shared" si="26"/>
        <v>1.5965098177710042</v>
      </c>
      <c r="J121" s="5">
        <f t="shared" si="26"/>
        <v>1.1900604908698507</v>
      </c>
      <c r="K121" s="5">
        <f t="shared" si="26"/>
        <v>6.0588309931664188</v>
      </c>
      <c r="L121" s="13">
        <f t="shared" si="29"/>
        <v>14.750172198330802</v>
      </c>
      <c r="M121" s="10">
        <v>2</v>
      </c>
      <c r="N121" s="5">
        <f>D117+E117+H117+I117+D118+E118+H118+I118+D121+E121+H121+I121+D122+E122+H122+I122</f>
        <v>32.00000000574078</v>
      </c>
      <c r="O121" s="5">
        <f>F117+G117+J117+K117+F118+G118+J118+K118+F121+G121+J121+K121+F122+G122+J122+K122</f>
        <v>86.938569068597971</v>
      </c>
      <c r="P121" s="10">
        <v>2</v>
      </c>
      <c r="Q121">
        <f>POWER(N10-N121,2)/N121</f>
        <v>3.1249999635595001E-2</v>
      </c>
      <c r="R121">
        <f>POWER(O10-O121,2)/O121</f>
        <v>1.2958985111061796E-2</v>
      </c>
      <c r="W121" s="1" t="s">
        <v>19</v>
      </c>
      <c r="X121" s="5">
        <f t="shared" si="27"/>
        <v>14.750172198330802</v>
      </c>
      <c r="Y121" s="5">
        <f>J121</f>
        <v>1.1900604908698507</v>
      </c>
      <c r="Z121" s="5">
        <f t="shared" si="30"/>
        <v>13.560111707460951</v>
      </c>
      <c r="AA121" s="8">
        <f t="shared" si="28"/>
        <v>0.55123417127350882</v>
      </c>
      <c r="AB121" s="8">
        <f t="shared" si="28"/>
        <v>1.426992004840584E-2</v>
      </c>
      <c r="AC121" s="7"/>
    </row>
    <row r="122" spans="1:29" x14ac:dyDescent="0.25">
      <c r="A122" s="7"/>
      <c r="C122" s="1" t="s">
        <v>20</v>
      </c>
      <c r="D122" s="5">
        <f t="shared" si="26"/>
        <v>0.76500000013724045</v>
      </c>
      <c r="E122" s="5">
        <f t="shared" si="26"/>
        <v>2.8985088381429542</v>
      </c>
      <c r="F122" s="5">
        <f t="shared" si="26"/>
        <v>2.0783751667961701</v>
      </c>
      <c r="G122" s="5">
        <f t="shared" si="26"/>
        <v>11.414894214049006</v>
      </c>
      <c r="H122" s="5">
        <f t="shared" si="26"/>
        <v>1.5965098177710038</v>
      </c>
      <c r="I122" s="5">
        <f t="shared" si="26"/>
        <v>8.5680585798241093</v>
      </c>
      <c r="J122" s="5">
        <f t="shared" si="26"/>
        <v>6.0588309931664179</v>
      </c>
      <c r="K122" s="5">
        <f t="shared" si="26"/>
        <v>34.212520606455499</v>
      </c>
      <c r="L122" s="13">
        <f t="shared" si="29"/>
        <v>67.592698216342399</v>
      </c>
      <c r="M122" s="10" t="s">
        <v>41</v>
      </c>
      <c r="N122" s="10">
        <v>1</v>
      </c>
      <c r="O122" s="10">
        <v>2</v>
      </c>
      <c r="P122" s="10" t="s">
        <v>41</v>
      </c>
      <c r="Q122" s="10">
        <v>1</v>
      </c>
      <c r="R122" s="10">
        <v>2</v>
      </c>
      <c r="S122" s="10" t="s">
        <v>11</v>
      </c>
      <c r="T122" s="10" t="s">
        <v>42</v>
      </c>
      <c r="U122" s="10" t="s">
        <v>43</v>
      </c>
      <c r="W122" s="1" t="s">
        <v>20</v>
      </c>
      <c r="X122" s="5">
        <f t="shared" si="27"/>
        <v>67.592698216342399</v>
      </c>
      <c r="Y122" s="5">
        <f>K122</f>
        <v>34.212520606455499</v>
      </c>
      <c r="Z122" s="5">
        <f t="shared" si="30"/>
        <v>33.3801776098869</v>
      </c>
      <c r="AA122" s="8">
        <f t="shared" si="28"/>
        <v>9.338927754254224E-2</v>
      </c>
      <c r="AB122" s="8">
        <f t="shared" si="28"/>
        <v>4.3299654288389972E-3</v>
      </c>
      <c r="AC122" s="7"/>
    </row>
    <row r="123" spans="1:29" x14ac:dyDescent="0.25">
      <c r="A123" s="7"/>
      <c r="D123" s="13">
        <f>SUM(D115:D122)</f>
        <v>35.862656585174143</v>
      </c>
      <c r="E123" s="13">
        <f t="shared" ref="E123:K123" si="31">SUM(E115:E122)</f>
        <v>11.781359599459574</v>
      </c>
      <c r="F123" s="13">
        <f t="shared" si="31"/>
        <v>12.685579707339297</v>
      </c>
      <c r="G123" s="13">
        <f t="shared" si="31"/>
        <v>23.910118952326254</v>
      </c>
      <c r="H123" s="13">
        <f t="shared" si="31"/>
        <v>14.584630269029139</v>
      </c>
      <c r="I123" s="13">
        <f t="shared" si="31"/>
        <v>18.832784507878273</v>
      </c>
      <c r="J123" s="13">
        <f t="shared" si="31"/>
        <v>14.750172198330802</v>
      </c>
      <c r="K123" s="13">
        <f t="shared" si="31"/>
        <v>67.592698216342399</v>
      </c>
      <c r="L123" s="1">
        <f t="shared" si="29"/>
        <v>200.00000003587988</v>
      </c>
      <c r="M123" s="10">
        <v>1</v>
      </c>
      <c r="N123" s="5">
        <f>D115+F115+H115+J115+D117+F117+H117+J117+D119+F119+H119+J119+D121+F121+H121+J121</f>
        <v>52.383038755298706</v>
      </c>
      <c r="O123" s="5">
        <f>E115+G115+I115+K115+E117+G117+I117+K117+E119+G119+I119+K119+E121+G121+I121+K121</f>
        <v>25.500000004574687</v>
      </c>
      <c r="P123" s="10">
        <v>1</v>
      </c>
      <c r="Q123">
        <f>POWER(N12-N123,2)/N123</f>
        <v>4.9912409226192243E-2</v>
      </c>
      <c r="R123">
        <f>POWER(O12-O123,2)/O123</f>
        <v>9.8039213874691316E-3</v>
      </c>
      <c r="S123" s="25">
        <f>Q123+R123+Q124+R124</f>
        <v>0.28335651237578774</v>
      </c>
      <c r="T123">
        <f>_xlfn.CHISQ.DIST(S123,1,TRUE)</f>
        <v>0.40549036837870983</v>
      </c>
      <c r="U123" s="25">
        <f>1-T123</f>
        <v>0.59450963162129011</v>
      </c>
      <c r="W123" s="1" t="s">
        <v>59</v>
      </c>
      <c r="X123" s="7">
        <f>SUM(X115:X122)</f>
        <v>200.00000003587988</v>
      </c>
      <c r="Y123" s="7">
        <f>SUM(Y115:Y122)</f>
        <v>63.325000011360473</v>
      </c>
      <c r="Z123" s="7">
        <f>SUM(Z115:Z122)</f>
        <v>136.67500002451939</v>
      </c>
      <c r="AA123" s="7">
        <f>SUM(AA115:AA122)</f>
        <v>2.1668345441039194</v>
      </c>
      <c r="AB123" s="7">
        <f>SUM(AB115:AB122)</f>
        <v>1.1070195270103942</v>
      </c>
      <c r="AC123" s="11">
        <f>SUM(AA123:AB123)</f>
        <v>3.2738540711143136</v>
      </c>
    </row>
    <row r="124" spans="1:29" x14ac:dyDescent="0.25">
      <c r="A124" s="7"/>
      <c r="M124" s="10">
        <v>2</v>
      </c>
      <c r="N124" s="5">
        <f>D116+F116+H116+J116+D118+F118+H118+J118+D120+F120+H120+J120+D122+F122+H122+J122</f>
        <v>25.500000004574684</v>
      </c>
      <c r="O124" s="5">
        <f>E116+G116+I116+K116+E118+G118+I118+K118+E120+G120+I120+K120+E122+G122+I122+K122</f>
        <v>96.616961271431819</v>
      </c>
      <c r="P124" s="10">
        <v>2</v>
      </c>
      <c r="Q124">
        <f>POWER(N13-N124,2)/N124</f>
        <v>8.8235293563619616E-2</v>
      </c>
      <c r="R124">
        <f>POWER(O13-O124,2)/O124</f>
        <v>0.13540488819850674</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f>IF(D4&gt;0,D4*LN(D4/D115),0)</f>
        <v>-0.77154062341806318</v>
      </c>
      <c r="E127" s="8">
        <f t="shared" ref="E127:K127" si="32">IF(E4&gt;0,E4*LN(E4/E115),0)</f>
        <v>-0.17786841333783443</v>
      </c>
      <c r="F127" s="8">
        <f t="shared" si="32"/>
        <v>-0.45129321381338705</v>
      </c>
      <c r="G127" s="8">
        <f t="shared" si="32"/>
        <v>4.7626150075984836E-2</v>
      </c>
      <c r="H127" s="8">
        <f t="shared" si="32"/>
        <v>5.0713429860601823E-2</v>
      </c>
      <c r="I127" s="8">
        <f t="shared" si="32"/>
        <v>-0.15945785791398986</v>
      </c>
      <c r="J127" s="8">
        <f t="shared" si="32"/>
        <v>0.48224445365427526</v>
      </c>
      <c r="K127" s="8">
        <f t="shared" si="32"/>
        <v>1.9220532510722941</v>
      </c>
      <c r="L127" s="14">
        <f>SUM(D127:K127)</f>
        <v>0.94247717617988147</v>
      </c>
      <c r="AC127" s="7"/>
    </row>
    <row r="128" spans="1:29" x14ac:dyDescent="0.25">
      <c r="A128" s="7"/>
      <c r="C128" s="1" t="s">
        <v>14</v>
      </c>
      <c r="D128" s="8">
        <f t="shared" ref="D128:K134" si="33">IF(D5&gt;0,D5*LN(D5/D116),0)</f>
        <v>-0.17786841333783512</v>
      </c>
      <c r="E128" s="8">
        <f t="shared" si="33"/>
        <v>0.20969340839211006</v>
      </c>
      <c r="F128" s="8">
        <f t="shared" si="33"/>
        <v>4.7626150075984627E-2</v>
      </c>
      <c r="G128" s="8">
        <f t="shared" si="33"/>
        <v>-8.9509339524273535E-2</v>
      </c>
      <c r="H128" s="8">
        <f t="shared" si="33"/>
        <v>-0.15945785791398986</v>
      </c>
      <c r="I128" s="8">
        <f t="shared" si="33"/>
        <v>0.10118220357577491</v>
      </c>
      <c r="J128" s="8">
        <f t="shared" si="33"/>
        <v>0</v>
      </c>
      <c r="K128" s="8">
        <f t="shared" si="33"/>
        <v>-1.0641964110056823</v>
      </c>
      <c r="L128" s="14">
        <f t="shared" ref="L128:L134" si="34">SUM(D128:K128)</f>
        <v>-1.1325302597379112</v>
      </c>
      <c r="AC128" s="7"/>
    </row>
    <row r="129" spans="1:29" x14ac:dyDescent="0.25">
      <c r="A129" s="7"/>
      <c r="C129" s="1" t="s">
        <v>15</v>
      </c>
      <c r="D129" s="8">
        <f t="shared" si="33"/>
        <v>0.55160123930431448</v>
      </c>
      <c r="E129" s="8">
        <f t="shared" si="33"/>
        <v>4.7626150075984836E-2</v>
      </c>
      <c r="F129" s="8">
        <f t="shared" si="33"/>
        <v>0</v>
      </c>
      <c r="G129" s="8">
        <f t="shared" si="33"/>
        <v>0.14031293023048702</v>
      </c>
      <c r="H129" s="8">
        <f t="shared" si="33"/>
        <v>0.48224445365427526</v>
      </c>
      <c r="I129" s="8">
        <f t="shared" si="33"/>
        <v>0.26787944497620181</v>
      </c>
      <c r="J129" s="8">
        <f t="shared" si="33"/>
        <v>0.31561916730201567</v>
      </c>
      <c r="K129" s="8">
        <f t="shared" si="33"/>
        <v>-7.6878476143244473E-2</v>
      </c>
      <c r="L129" s="14">
        <f t="shared" si="34"/>
        <v>1.7284049094000349</v>
      </c>
      <c r="AC129" s="7"/>
    </row>
    <row r="130" spans="1:29" x14ac:dyDescent="0.25">
      <c r="A130" s="7"/>
      <c r="C130" s="1" t="s">
        <v>16</v>
      </c>
      <c r="D130" s="8">
        <f t="shared" si="33"/>
        <v>4.7626150075984627E-2</v>
      </c>
      <c r="E130" s="8">
        <f t="shared" si="33"/>
        <v>-8.9509339524273535E-2</v>
      </c>
      <c r="F130" s="8">
        <f t="shared" si="33"/>
        <v>0.14031293023048702</v>
      </c>
      <c r="G130" s="8">
        <f t="shared" si="33"/>
        <v>-0.73833468554900639</v>
      </c>
      <c r="H130" s="8">
        <f t="shared" si="33"/>
        <v>0.26787944497620181</v>
      </c>
      <c r="I130" s="8">
        <f t="shared" si="33"/>
        <v>0.10324763298728207</v>
      </c>
      <c r="J130" s="8">
        <f t="shared" si="33"/>
        <v>-7.6878476143244473E-2</v>
      </c>
      <c r="K130" s="8">
        <f t="shared" si="33"/>
        <v>-0.40726113851329776</v>
      </c>
      <c r="L130" s="14">
        <f t="shared" si="34"/>
        <v>-0.7529174814598667</v>
      </c>
      <c r="AC130" s="7"/>
    </row>
    <row r="131" spans="1:29" x14ac:dyDescent="0.25">
      <c r="A131" s="7"/>
      <c r="C131" s="1" t="s">
        <v>17</v>
      </c>
      <c r="D131" s="8">
        <f t="shared" si="33"/>
        <v>5.0713429860600498E-2</v>
      </c>
      <c r="E131" s="8">
        <f t="shared" si="33"/>
        <v>-0.15945785791398986</v>
      </c>
      <c r="F131" s="8">
        <f t="shared" si="33"/>
        <v>0.48224445365427526</v>
      </c>
      <c r="G131" s="8">
        <f t="shared" si="33"/>
        <v>0.26787944497620181</v>
      </c>
      <c r="H131" s="8">
        <f t="shared" si="33"/>
        <v>-4.1908848548837294E-2</v>
      </c>
      <c r="I131" s="8">
        <f t="shared" si="33"/>
        <v>0</v>
      </c>
      <c r="J131" s="8">
        <f t="shared" si="33"/>
        <v>0.27369052662189608</v>
      </c>
      <c r="K131" s="8">
        <f t="shared" si="33"/>
        <v>0.45065459569423222</v>
      </c>
      <c r="L131" s="14">
        <f t="shared" si="34"/>
        <v>1.3238157443443788</v>
      </c>
      <c r="AC131" s="7"/>
    </row>
    <row r="132" spans="1:29" x14ac:dyDescent="0.25">
      <c r="A132" s="7"/>
      <c r="C132" s="1" t="s">
        <v>18</v>
      </c>
      <c r="D132" s="8">
        <f t="shared" si="33"/>
        <v>-0.15945785791398975</v>
      </c>
      <c r="E132" s="8">
        <f t="shared" si="33"/>
        <v>0.10118220357577491</v>
      </c>
      <c r="F132" s="8">
        <f t="shared" si="33"/>
        <v>0.26787944497620197</v>
      </c>
      <c r="G132" s="8">
        <f t="shared" si="33"/>
        <v>0.10324763298728271</v>
      </c>
      <c r="H132" s="8">
        <f t="shared" si="33"/>
        <v>0.31974292978265356</v>
      </c>
      <c r="I132" s="8">
        <f t="shared" si="33"/>
        <v>-0.19219097709823357</v>
      </c>
      <c r="J132" s="8">
        <f t="shared" si="33"/>
        <v>0.45065459569423261</v>
      </c>
      <c r="K132" s="8">
        <f t="shared" si="33"/>
        <v>-0.54879702791896778</v>
      </c>
      <c r="L132" s="14">
        <f t="shared" si="34"/>
        <v>0.34226094408495467</v>
      </c>
      <c r="AC132" s="7"/>
    </row>
    <row r="133" spans="1:29" x14ac:dyDescent="0.25">
      <c r="A133" s="7"/>
      <c r="C133" s="1" t="s">
        <v>19</v>
      </c>
      <c r="D133" s="8">
        <f t="shared" si="33"/>
        <v>0.48224445365427526</v>
      </c>
      <c r="E133" s="8">
        <f t="shared" si="33"/>
        <v>0</v>
      </c>
      <c r="F133" s="8">
        <f t="shared" si="33"/>
        <v>0.31561916730201567</v>
      </c>
      <c r="G133" s="8">
        <f t="shared" si="33"/>
        <v>-7.6878476143244473E-2</v>
      </c>
      <c r="H133" s="8">
        <f t="shared" si="33"/>
        <v>0.27369052662189608</v>
      </c>
      <c r="I133" s="8">
        <f t="shared" si="33"/>
        <v>0.45065459569423222</v>
      </c>
      <c r="J133" s="8">
        <f t="shared" si="33"/>
        <v>1.0382860841294066</v>
      </c>
      <c r="K133" s="8">
        <f t="shared" si="33"/>
        <v>-5.8544440958652522E-2</v>
      </c>
      <c r="L133" s="14">
        <f t="shared" si="34"/>
        <v>2.4250719102999287</v>
      </c>
      <c r="AC133" s="7"/>
    </row>
    <row r="134" spans="1:29" x14ac:dyDescent="0.25">
      <c r="A134" s="7"/>
      <c r="C134" s="1" t="s">
        <v>20</v>
      </c>
      <c r="D134" s="8">
        <f t="shared" si="33"/>
        <v>0.26787944497620197</v>
      </c>
      <c r="E134" s="8">
        <f t="shared" si="33"/>
        <v>-1.0641964110056821</v>
      </c>
      <c r="F134" s="8">
        <f t="shared" si="33"/>
        <v>1.1010776101096267</v>
      </c>
      <c r="G134" s="8">
        <f t="shared" si="33"/>
        <v>-0.40726113851329654</v>
      </c>
      <c r="H134" s="8">
        <f t="shared" si="33"/>
        <v>0.45065459569423261</v>
      </c>
      <c r="I134" s="8">
        <f t="shared" si="33"/>
        <v>0.4426506644986124</v>
      </c>
      <c r="J134" s="8">
        <f t="shared" si="33"/>
        <v>-5.8544440958651175E-2</v>
      </c>
      <c r="K134" s="8">
        <f t="shared" si="33"/>
        <v>1.8333814241410962</v>
      </c>
      <c r="L134" s="14">
        <f t="shared" si="34"/>
        <v>2.5656417489421401</v>
      </c>
      <c r="AC134" s="7"/>
    </row>
    <row r="135" spans="1:29" x14ac:dyDescent="0.25">
      <c r="A135" s="7"/>
      <c r="D135" s="14">
        <f>SUM(D127:D134)</f>
        <v>0.29119782320148885</v>
      </c>
      <c r="E135" s="14">
        <f t="shared" ref="E135:K135" si="35">SUM(E127:E134)</f>
        <v>-1.1325302597379101</v>
      </c>
      <c r="F135" s="14">
        <f t="shared" si="35"/>
        <v>1.9034665425352042</v>
      </c>
      <c r="G135" s="14">
        <f t="shared" si="35"/>
        <v>-0.75291748145986448</v>
      </c>
      <c r="H135" s="14">
        <f t="shared" si="35"/>
        <v>1.6435586741270338</v>
      </c>
      <c r="I135" s="14">
        <f t="shared" si="35"/>
        <v>1.01396570671988</v>
      </c>
      <c r="J135" s="14">
        <f t="shared" si="35"/>
        <v>2.4250719102999305</v>
      </c>
      <c r="K135" s="14">
        <f t="shared" si="35"/>
        <v>2.0504117763677776</v>
      </c>
      <c r="L135" s="2">
        <f>2*SUM(L127:L134)</f>
        <v>14.884449384107082</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f>POWER(D4-D115,2)/D115</f>
        <v>3.5022183429124186E-2</v>
      </c>
      <c r="E140" s="8">
        <f t="shared" ref="E140:K140" si="36">POWER(E4-E115,2)/E115</f>
        <v>1.0548813746940356E-2</v>
      </c>
      <c r="F140" s="8">
        <f t="shared" si="36"/>
        <v>5.0970424107275009E-2</v>
      </c>
      <c r="G140" s="8">
        <f t="shared" si="36"/>
        <v>2.2686789500482364E-3</v>
      </c>
      <c r="H140" s="8">
        <f t="shared" si="36"/>
        <v>4.2864454657098877E-4</v>
      </c>
      <c r="I140" s="8">
        <f t="shared" si="36"/>
        <v>2.5480731017494925E-2</v>
      </c>
      <c r="J140" s="8">
        <f t="shared" si="36"/>
        <v>0.11684432470411402</v>
      </c>
      <c r="K140" s="8">
        <f t="shared" si="36"/>
        <v>1.9937581691338448</v>
      </c>
      <c r="L140" s="15">
        <f>SUM(D140:K140)</f>
        <v>2.2353219696354127</v>
      </c>
      <c r="AC140" s="7"/>
    </row>
    <row r="141" spans="1:29" x14ac:dyDescent="0.25">
      <c r="A141" s="7"/>
      <c r="C141" s="1" t="s">
        <v>14</v>
      </c>
      <c r="D141" s="8">
        <f t="shared" ref="D141:K147" si="37">POWER(D5-D116,2)/D116</f>
        <v>1.0548813746940456E-2</v>
      </c>
      <c r="E141" s="8">
        <f t="shared" si="37"/>
        <v>4.4132684990887752E-2</v>
      </c>
      <c r="F141" s="8">
        <f t="shared" si="37"/>
        <v>2.2686789500482251E-3</v>
      </c>
      <c r="G141" s="8">
        <f t="shared" si="37"/>
        <v>8.0172725318597773E-3</v>
      </c>
      <c r="H141" s="8">
        <f t="shared" si="37"/>
        <v>2.5480731017494925E-2</v>
      </c>
      <c r="I141" s="8">
        <f t="shared" si="37"/>
        <v>1.0246575746178512E-2</v>
      </c>
      <c r="J141" s="8">
        <f t="shared" si="37"/>
        <v>0.76500000013724057</v>
      </c>
      <c r="K141" s="8">
        <f t="shared" si="37"/>
        <v>1.2435138237550356</v>
      </c>
      <c r="L141" s="15">
        <f t="shared" ref="L141:L147" si="38">SUM(D141:K141)</f>
        <v>2.109208580875686</v>
      </c>
      <c r="AC141" s="7"/>
    </row>
    <row r="142" spans="1:29" x14ac:dyDescent="0.25">
      <c r="A142" s="7"/>
      <c r="C142" s="1" t="s">
        <v>15</v>
      </c>
      <c r="D142" s="8">
        <f t="shared" si="37"/>
        <v>6.0914528175407393E-2</v>
      </c>
      <c r="E142" s="8">
        <f t="shared" si="37"/>
        <v>2.2686789500482364E-3</v>
      </c>
      <c r="F142" s="8">
        <f t="shared" si="37"/>
        <v>1.2410633515327227</v>
      </c>
      <c r="G142" s="8">
        <f t="shared" si="37"/>
        <v>1.9720040116054924E-2</v>
      </c>
      <c r="H142" s="8">
        <f t="shared" si="37"/>
        <v>0.11684432470411402</v>
      </c>
      <c r="I142" s="8">
        <f t="shared" si="37"/>
        <v>7.2189542386391636E-2</v>
      </c>
      <c r="J142" s="8">
        <f t="shared" si="37"/>
        <v>0.10044514614950073</v>
      </c>
      <c r="K142" s="8">
        <f t="shared" si="37"/>
        <v>2.9555139363007842E-3</v>
      </c>
      <c r="L142" s="15">
        <f t="shared" si="38"/>
        <v>1.6164011259505406</v>
      </c>
      <c r="AC142" s="7"/>
    </row>
    <row r="143" spans="1:29" x14ac:dyDescent="0.25">
      <c r="A143" s="7"/>
      <c r="C143" s="1" t="s">
        <v>16</v>
      </c>
      <c r="D143" s="8">
        <f t="shared" si="37"/>
        <v>2.2686789500482251E-3</v>
      </c>
      <c r="E143" s="8">
        <f t="shared" si="37"/>
        <v>8.0172725318597773E-3</v>
      </c>
      <c r="F143" s="8">
        <f t="shared" si="37"/>
        <v>1.9720040116054924E-2</v>
      </c>
      <c r="G143" s="8">
        <f t="shared" si="37"/>
        <v>0.18263176501238215</v>
      </c>
      <c r="H143" s="8">
        <f t="shared" si="37"/>
        <v>7.2189542386391636E-2</v>
      </c>
      <c r="I143" s="8">
        <f t="shared" si="37"/>
        <v>3.5537086516846256E-3</v>
      </c>
      <c r="J143" s="8">
        <f t="shared" si="37"/>
        <v>2.9555139363007842E-3</v>
      </c>
      <c r="K143" s="8">
        <f t="shared" si="37"/>
        <v>1.5080052922390154E-2</v>
      </c>
      <c r="L143" s="15">
        <f t="shared" si="38"/>
        <v>0.30641657450711229</v>
      </c>
      <c r="AC143" s="7"/>
    </row>
    <row r="144" spans="1:29" x14ac:dyDescent="0.25">
      <c r="A144" s="7"/>
      <c r="C144" s="1" t="s">
        <v>17</v>
      </c>
      <c r="D144" s="8">
        <f t="shared" si="37"/>
        <v>4.2864454657097365E-4</v>
      </c>
      <c r="E144" s="8">
        <f t="shared" si="37"/>
        <v>2.5480731017494925E-2</v>
      </c>
      <c r="F144" s="8">
        <f t="shared" si="37"/>
        <v>0.11684432470411402</v>
      </c>
      <c r="G144" s="8">
        <f t="shared" si="37"/>
        <v>7.2189542386391636E-2</v>
      </c>
      <c r="H144" s="8">
        <f t="shared" si="37"/>
        <v>8.7820792684517189E-4</v>
      </c>
      <c r="I144" s="8">
        <f t="shared" si="37"/>
        <v>0.72633573236034843</v>
      </c>
      <c r="J144" s="8">
        <f t="shared" si="37"/>
        <v>7.5375255456373455E-2</v>
      </c>
      <c r="K144" s="8">
        <f t="shared" si="37"/>
        <v>0.10197514938084778</v>
      </c>
      <c r="L144" s="15">
        <f t="shared" si="38"/>
        <v>1.1195075877789864</v>
      </c>
      <c r="AC144" s="7"/>
    </row>
    <row r="145" spans="1:29" x14ac:dyDescent="0.25">
      <c r="A145" s="7"/>
      <c r="C145" s="1" t="s">
        <v>18</v>
      </c>
      <c r="D145" s="8">
        <f t="shared" si="37"/>
        <v>2.5480731017494863E-2</v>
      </c>
      <c r="E145" s="8">
        <f t="shared" si="37"/>
        <v>1.0246575746178512E-2</v>
      </c>
      <c r="F145" s="8">
        <f t="shared" si="37"/>
        <v>7.218954238639172E-2</v>
      </c>
      <c r="G145" s="8">
        <f t="shared" si="37"/>
        <v>3.5537086516846572E-3</v>
      </c>
      <c r="H145" s="8">
        <f t="shared" si="37"/>
        <v>0.10310952366252531</v>
      </c>
      <c r="I145" s="8">
        <f t="shared" si="37"/>
        <v>1.8482902395906064E-2</v>
      </c>
      <c r="J145" s="8">
        <f t="shared" si="37"/>
        <v>0.10197514938084803</v>
      </c>
      <c r="K145" s="8">
        <f t="shared" si="37"/>
        <v>3.7662038267531124E-2</v>
      </c>
      <c r="L145" s="15">
        <f t="shared" si="38"/>
        <v>0.37270017150856027</v>
      </c>
      <c r="AC145" s="7"/>
    </row>
    <row r="146" spans="1:29" x14ac:dyDescent="0.25">
      <c r="A146" s="7"/>
      <c r="C146" s="1" t="s">
        <v>19</v>
      </c>
      <c r="D146" s="8">
        <f t="shared" si="37"/>
        <v>0.11684432470411402</v>
      </c>
      <c r="E146" s="8">
        <f t="shared" si="37"/>
        <v>0.76500000013724057</v>
      </c>
      <c r="F146" s="8">
        <f t="shared" si="37"/>
        <v>0.10044514614950073</v>
      </c>
      <c r="G146" s="8">
        <f t="shared" si="37"/>
        <v>2.9555139363007842E-3</v>
      </c>
      <c r="H146" s="8">
        <f t="shared" si="37"/>
        <v>7.5375255456373455E-2</v>
      </c>
      <c r="I146" s="8">
        <f t="shared" si="37"/>
        <v>0.10197514938084778</v>
      </c>
      <c r="J146" s="8">
        <f t="shared" si="37"/>
        <v>0.55123417127350882</v>
      </c>
      <c r="K146" s="8">
        <f t="shared" si="37"/>
        <v>5.7124646005984935E-4</v>
      </c>
      <c r="L146" s="15">
        <f t="shared" si="38"/>
        <v>1.7144008074979458</v>
      </c>
      <c r="AC146" s="7"/>
    </row>
    <row r="147" spans="1:29" x14ac:dyDescent="0.25">
      <c r="A147" s="7"/>
      <c r="C147" s="1" t="s">
        <v>20</v>
      </c>
      <c r="D147" s="8">
        <f t="shared" si="37"/>
        <v>7.218954238639172E-2</v>
      </c>
      <c r="E147" s="8">
        <f t="shared" si="37"/>
        <v>1.2435138237550354</v>
      </c>
      <c r="F147" s="8">
        <f t="shared" si="37"/>
        <v>0.40868094786146408</v>
      </c>
      <c r="G147" s="8">
        <f t="shared" si="37"/>
        <v>1.5080052922390027E-2</v>
      </c>
      <c r="H147" s="8">
        <f t="shared" si="37"/>
        <v>0.10197514938084803</v>
      </c>
      <c r="I147" s="8">
        <f t="shared" si="37"/>
        <v>2.1775456916565038E-2</v>
      </c>
      <c r="J147" s="8">
        <f t="shared" si="37"/>
        <v>5.7124646005983222E-4</v>
      </c>
      <c r="K147" s="8">
        <f t="shared" si="37"/>
        <v>9.338927754254224E-2</v>
      </c>
      <c r="L147" s="15">
        <f t="shared" si="38"/>
        <v>1.9571754972252964</v>
      </c>
      <c r="N147">
        <f>_xlfn.CHISQ.DIST(L148,63-10,TRUE)</f>
        <v>2.2946642115602909E-10</v>
      </c>
      <c r="AC147" s="7"/>
    </row>
    <row r="148" spans="1:29" x14ac:dyDescent="0.25">
      <c r="A148" s="7"/>
      <c r="B148" s="7"/>
      <c r="C148" s="7"/>
      <c r="D148" s="15">
        <f>SUM(D140:D147)</f>
        <v>0.32369744695609182</v>
      </c>
      <c r="E148" s="15">
        <f t="shared" ref="E148:L148" si="39">SUM(E140:E147)</f>
        <v>2.1092085808756855</v>
      </c>
      <c r="F148" s="15">
        <f t="shared" si="39"/>
        <v>2.0121824558075709</v>
      </c>
      <c r="G148" s="15">
        <f t="shared" si="39"/>
        <v>0.30641657450711218</v>
      </c>
      <c r="H148" s="15">
        <f t="shared" si="39"/>
        <v>0.49628137908116354</v>
      </c>
      <c r="I148" s="15">
        <f t="shared" si="39"/>
        <v>0.98003979885541714</v>
      </c>
      <c r="J148" s="15">
        <f t="shared" si="39"/>
        <v>1.7144008074979462</v>
      </c>
      <c r="K148" s="15">
        <f t="shared" si="39"/>
        <v>3.488905271398552</v>
      </c>
      <c r="L148" s="16">
        <f t="shared" si="39"/>
        <v>11.431132314979541</v>
      </c>
      <c r="M148" t="s">
        <v>11</v>
      </c>
      <c r="N148" s="7">
        <f>1-N147</f>
        <v>0.99999999977053355</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9"/>
  <sheetViews>
    <sheetView workbookViewId="0">
      <selection activeCell="D4" sqref="D4:K11"/>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0.25</v>
      </c>
      <c r="B2" s="19">
        <v>0.2</v>
      </c>
      <c r="C2" s="19">
        <v>0.15</v>
      </c>
      <c r="D2" s="19">
        <v>0.33300000000000002</v>
      </c>
      <c r="E2" s="19">
        <v>0</v>
      </c>
      <c r="F2" s="19">
        <v>0</v>
      </c>
      <c r="G2" s="19">
        <v>0</v>
      </c>
      <c r="H2" s="19">
        <v>0</v>
      </c>
      <c r="I2" s="19">
        <v>0</v>
      </c>
      <c r="J2" s="19">
        <v>0</v>
      </c>
      <c r="K2" s="19">
        <v>0.66700000000000004</v>
      </c>
      <c r="L2" s="1">
        <v>1</v>
      </c>
      <c r="N2" t="s">
        <v>36</v>
      </c>
      <c r="O2" s="4">
        <v>0.59499999999999997</v>
      </c>
      <c r="P2" s="4">
        <v>0.59499999999999997</v>
      </c>
      <c r="AC2" s="7"/>
    </row>
    <row r="3" spans="1:29" x14ac:dyDescent="0.25">
      <c r="A3" t="s">
        <v>79</v>
      </c>
      <c r="B3" s="21">
        <v>11.502652902459481</v>
      </c>
      <c r="C3" s="18" t="s">
        <v>12</v>
      </c>
      <c r="D3" s="1" t="s">
        <v>13</v>
      </c>
      <c r="E3" s="1" t="s">
        <v>14</v>
      </c>
      <c r="F3" s="1" t="s">
        <v>15</v>
      </c>
      <c r="G3" s="1" t="s">
        <v>16</v>
      </c>
      <c r="H3" s="1" t="s">
        <v>17</v>
      </c>
      <c r="I3" s="1" t="s">
        <v>18</v>
      </c>
      <c r="J3" s="1" t="s">
        <v>19</v>
      </c>
      <c r="K3" s="1" t="s">
        <v>20</v>
      </c>
      <c r="L3" s="1"/>
      <c r="N3" t="s">
        <v>37</v>
      </c>
      <c r="O3" s="4">
        <v>0.60499999999999998</v>
      </c>
      <c r="P3" s="4">
        <v>0.6</v>
      </c>
      <c r="Q3" t="s">
        <v>55</v>
      </c>
      <c r="Y3" s="1" t="s">
        <v>12</v>
      </c>
      <c r="Z3" t="s">
        <v>47</v>
      </c>
      <c r="AA3" t="s">
        <v>48</v>
      </c>
      <c r="AB3" t="s">
        <v>49</v>
      </c>
      <c r="AC3" s="7"/>
    </row>
    <row r="4" spans="1:29" x14ac:dyDescent="0.25">
      <c r="A4" t="s">
        <v>21</v>
      </c>
      <c r="B4">
        <v>0.99999997649745742</v>
      </c>
      <c r="C4" s="1" t="s">
        <v>13</v>
      </c>
      <c r="D4">
        <v>17</v>
      </c>
      <c r="E4">
        <v>3</v>
      </c>
      <c r="F4">
        <v>4</v>
      </c>
      <c r="G4">
        <v>1</v>
      </c>
      <c r="H4">
        <v>6</v>
      </c>
      <c r="I4">
        <v>1</v>
      </c>
      <c r="J4">
        <v>2</v>
      </c>
      <c r="K4">
        <v>2</v>
      </c>
      <c r="L4" s="1">
        <v>36</v>
      </c>
      <c r="N4" t="s">
        <v>38</v>
      </c>
      <c r="O4" s="4">
        <v>0.6</v>
      </c>
      <c r="P4" s="4">
        <v>0.59499999999999997</v>
      </c>
      <c r="Q4" t="s">
        <v>56</v>
      </c>
      <c r="T4" t="s">
        <v>44</v>
      </c>
      <c r="V4" t="s">
        <v>57</v>
      </c>
      <c r="Y4" s="1" t="s">
        <v>13</v>
      </c>
      <c r="Z4">
        <v>36</v>
      </c>
      <c r="AA4">
        <v>17</v>
      </c>
      <c r="AB4">
        <v>19</v>
      </c>
      <c r="AC4" s="7"/>
    </row>
    <row r="5" spans="1:29" x14ac:dyDescent="0.25">
      <c r="C5" s="1" t="s">
        <v>14</v>
      </c>
      <c r="D5">
        <v>3</v>
      </c>
      <c r="E5">
        <v>1</v>
      </c>
      <c r="F5">
        <v>1</v>
      </c>
      <c r="G5">
        <v>1</v>
      </c>
      <c r="H5">
        <v>1</v>
      </c>
      <c r="I5">
        <v>1</v>
      </c>
      <c r="J5">
        <v>0</v>
      </c>
      <c r="K5">
        <v>1</v>
      </c>
      <c r="L5" s="1">
        <v>9</v>
      </c>
      <c r="M5" s="10" t="s">
        <v>39</v>
      </c>
      <c r="N5" s="10">
        <v>1</v>
      </c>
      <c r="O5" s="10">
        <v>2</v>
      </c>
      <c r="P5" s="10" t="s">
        <v>39</v>
      </c>
      <c r="Q5" s="10">
        <v>1</v>
      </c>
      <c r="R5" s="10">
        <v>2</v>
      </c>
      <c r="S5" s="10" t="s">
        <v>39</v>
      </c>
      <c r="T5" s="10">
        <v>1</v>
      </c>
      <c r="U5" s="10">
        <v>2</v>
      </c>
      <c r="V5" s="10" t="s">
        <v>11</v>
      </c>
      <c r="W5" t="s">
        <v>42</v>
      </c>
      <c r="X5" t="s">
        <v>43</v>
      </c>
      <c r="Y5" s="1" t="s">
        <v>14</v>
      </c>
      <c r="Z5">
        <v>9</v>
      </c>
      <c r="AA5">
        <v>1</v>
      </c>
      <c r="AB5">
        <v>8</v>
      </c>
      <c r="AC5" s="7"/>
    </row>
    <row r="6" spans="1:29" x14ac:dyDescent="0.25">
      <c r="A6" t="s">
        <v>22</v>
      </c>
      <c r="B6" s="20">
        <v>0.25</v>
      </c>
      <c r="C6" s="1" t="s">
        <v>15</v>
      </c>
      <c r="D6">
        <v>5</v>
      </c>
      <c r="E6">
        <v>1</v>
      </c>
      <c r="F6">
        <v>0</v>
      </c>
      <c r="G6">
        <v>1</v>
      </c>
      <c r="H6">
        <v>2</v>
      </c>
      <c r="I6">
        <v>1</v>
      </c>
      <c r="J6">
        <v>1</v>
      </c>
      <c r="K6">
        <v>2</v>
      </c>
      <c r="L6" s="1">
        <v>13</v>
      </c>
      <c r="M6" s="10">
        <v>1</v>
      </c>
      <c r="N6">
        <v>44</v>
      </c>
      <c r="O6">
        <v>37</v>
      </c>
      <c r="P6" s="10">
        <v>1</v>
      </c>
      <c r="Q6">
        <v>32.805</v>
      </c>
      <c r="R6">
        <v>48.195</v>
      </c>
      <c r="S6" s="10">
        <v>1</v>
      </c>
      <c r="T6">
        <v>3.8203939948178633</v>
      </c>
      <c r="U6">
        <v>2.6004362485735038</v>
      </c>
      <c r="V6" s="12">
        <v>10.791311333430867</v>
      </c>
      <c r="W6">
        <v>0.99898022384529428</v>
      </c>
      <c r="X6" s="12">
        <v>1.0197761547057205E-3</v>
      </c>
      <c r="Y6" s="1" t="s">
        <v>15</v>
      </c>
      <c r="Z6">
        <v>13</v>
      </c>
      <c r="AA6">
        <v>0</v>
      </c>
      <c r="AB6">
        <v>13</v>
      </c>
      <c r="AC6" s="7"/>
    </row>
    <row r="7" spans="1:29" x14ac:dyDescent="0.25">
      <c r="A7" t="s">
        <v>23</v>
      </c>
      <c r="B7" s="20">
        <v>0.2</v>
      </c>
      <c r="C7" s="1" t="s">
        <v>16</v>
      </c>
      <c r="D7">
        <v>1</v>
      </c>
      <c r="E7">
        <v>1</v>
      </c>
      <c r="F7">
        <v>1</v>
      </c>
      <c r="G7">
        <v>3</v>
      </c>
      <c r="H7">
        <v>1</v>
      </c>
      <c r="I7">
        <v>3</v>
      </c>
      <c r="J7">
        <v>2</v>
      </c>
      <c r="K7">
        <v>11</v>
      </c>
      <c r="L7" s="1">
        <v>23</v>
      </c>
      <c r="M7" s="10">
        <v>2</v>
      </c>
      <c r="N7">
        <v>37</v>
      </c>
      <c r="O7">
        <v>82</v>
      </c>
      <c r="P7" s="10">
        <v>2</v>
      </c>
      <c r="Q7">
        <v>48.195</v>
      </c>
      <c r="R7">
        <v>70.805000000000007</v>
      </c>
      <c r="S7" s="10">
        <v>2</v>
      </c>
      <c r="T7">
        <v>2.6004362485735038</v>
      </c>
      <c r="U7">
        <v>1.7700448414659957</v>
      </c>
      <c r="Y7" s="1" t="s">
        <v>16</v>
      </c>
      <c r="Z7">
        <v>23</v>
      </c>
      <c r="AA7">
        <v>3</v>
      </c>
      <c r="AB7">
        <v>20</v>
      </c>
      <c r="AC7" s="7"/>
    </row>
    <row r="8" spans="1:29" x14ac:dyDescent="0.25">
      <c r="A8" t="s">
        <v>24</v>
      </c>
      <c r="B8" s="20">
        <v>0.15</v>
      </c>
      <c r="C8" s="1" t="s">
        <v>17</v>
      </c>
      <c r="D8">
        <v>6</v>
      </c>
      <c r="E8">
        <v>1</v>
      </c>
      <c r="F8">
        <v>2</v>
      </c>
      <c r="G8">
        <v>1</v>
      </c>
      <c r="H8">
        <v>2</v>
      </c>
      <c r="I8">
        <v>0</v>
      </c>
      <c r="J8">
        <v>1</v>
      </c>
      <c r="K8">
        <v>2</v>
      </c>
      <c r="L8" s="1">
        <v>15</v>
      </c>
      <c r="M8" s="10" t="s">
        <v>40</v>
      </c>
      <c r="N8">
        <v>1</v>
      </c>
      <c r="O8">
        <v>2</v>
      </c>
      <c r="P8" s="10" t="s">
        <v>40</v>
      </c>
      <c r="S8" s="10" t="s">
        <v>40</v>
      </c>
      <c r="Y8" s="1" t="s">
        <v>17</v>
      </c>
      <c r="Z8">
        <v>15</v>
      </c>
      <c r="AA8">
        <v>2</v>
      </c>
      <c r="AB8">
        <v>13</v>
      </c>
      <c r="AC8" s="7"/>
    </row>
    <row r="9" spans="1:29" x14ac:dyDescent="0.25">
      <c r="C9" s="1" t="s">
        <v>18</v>
      </c>
      <c r="D9">
        <v>1</v>
      </c>
      <c r="E9">
        <v>1</v>
      </c>
      <c r="F9">
        <v>1</v>
      </c>
      <c r="G9">
        <v>3</v>
      </c>
      <c r="H9">
        <v>1</v>
      </c>
      <c r="I9">
        <v>2</v>
      </c>
      <c r="J9">
        <v>2</v>
      </c>
      <c r="K9">
        <v>8</v>
      </c>
      <c r="L9" s="1">
        <v>19</v>
      </c>
      <c r="M9" s="10">
        <v>1</v>
      </c>
      <c r="N9">
        <v>47</v>
      </c>
      <c r="O9">
        <v>32</v>
      </c>
      <c r="P9" s="10">
        <v>1</v>
      </c>
      <c r="Q9">
        <v>31.6</v>
      </c>
      <c r="R9">
        <v>47.4</v>
      </c>
      <c r="S9" s="10">
        <v>1</v>
      </c>
      <c r="T9">
        <v>7.5050632911392388</v>
      </c>
      <c r="U9">
        <v>5.0033755274261598</v>
      </c>
      <c r="V9" s="12">
        <v>20.675105485232066</v>
      </c>
      <c r="W9">
        <v>0.99999455810598126</v>
      </c>
      <c r="X9" s="12">
        <v>5.4418940187428433E-6</v>
      </c>
      <c r="Y9" s="1" t="s">
        <v>18</v>
      </c>
      <c r="Z9">
        <v>19</v>
      </c>
      <c r="AA9">
        <v>2</v>
      </c>
      <c r="AB9">
        <v>17</v>
      </c>
      <c r="AC9" s="7"/>
    </row>
    <row r="10" spans="1:29" x14ac:dyDescent="0.25">
      <c r="A10" s="7"/>
      <c r="C10" s="1" t="s">
        <v>19</v>
      </c>
      <c r="D10">
        <v>2</v>
      </c>
      <c r="E10">
        <v>0</v>
      </c>
      <c r="F10">
        <v>1</v>
      </c>
      <c r="G10">
        <v>2</v>
      </c>
      <c r="H10">
        <v>1</v>
      </c>
      <c r="I10">
        <v>2</v>
      </c>
      <c r="J10">
        <v>2</v>
      </c>
      <c r="K10">
        <v>6</v>
      </c>
      <c r="L10" s="1">
        <v>16</v>
      </c>
      <c r="M10" s="10">
        <v>2</v>
      </c>
      <c r="N10">
        <v>33</v>
      </c>
      <c r="O10">
        <v>88</v>
      </c>
      <c r="P10" s="10">
        <v>2</v>
      </c>
      <c r="Q10">
        <v>48.4</v>
      </c>
      <c r="R10">
        <v>72.599999999999994</v>
      </c>
      <c r="S10" s="10">
        <v>2</v>
      </c>
      <c r="T10">
        <v>4.8999999999999995</v>
      </c>
      <c r="U10">
        <v>3.2666666666666693</v>
      </c>
      <c r="Y10" s="1" t="s">
        <v>19</v>
      </c>
      <c r="Z10">
        <v>16</v>
      </c>
      <c r="AA10">
        <v>2</v>
      </c>
      <c r="AB10">
        <v>14</v>
      </c>
      <c r="AC10" s="7"/>
    </row>
    <row r="11" spans="1:29" x14ac:dyDescent="0.25">
      <c r="A11" s="7">
        <v>0</v>
      </c>
      <c r="B11" s="6">
        <v>0</v>
      </c>
      <c r="C11" s="1" t="s">
        <v>20</v>
      </c>
      <c r="D11">
        <v>1</v>
      </c>
      <c r="E11">
        <v>1</v>
      </c>
      <c r="F11">
        <v>3</v>
      </c>
      <c r="G11">
        <v>11</v>
      </c>
      <c r="H11">
        <v>2</v>
      </c>
      <c r="I11">
        <v>9</v>
      </c>
      <c r="J11">
        <v>6</v>
      </c>
      <c r="K11">
        <v>36</v>
      </c>
      <c r="L11" s="1">
        <v>69</v>
      </c>
      <c r="M11" s="10" t="s">
        <v>41</v>
      </c>
      <c r="N11">
        <v>1</v>
      </c>
      <c r="O11">
        <v>2</v>
      </c>
      <c r="P11" s="10" t="s">
        <v>41</v>
      </c>
      <c r="S11" s="10" t="s">
        <v>41</v>
      </c>
      <c r="Y11" s="1" t="s">
        <v>20</v>
      </c>
      <c r="Z11">
        <v>69</v>
      </c>
      <c r="AA11">
        <v>36</v>
      </c>
      <c r="AB11">
        <v>33</v>
      </c>
      <c r="AC11" s="7"/>
    </row>
    <row r="12" spans="1:29" x14ac:dyDescent="0.25">
      <c r="A12" s="7"/>
      <c r="B12" s="6"/>
      <c r="C12" s="1"/>
      <c r="D12" s="1">
        <v>36</v>
      </c>
      <c r="E12" s="1">
        <v>9</v>
      </c>
      <c r="F12" s="1">
        <v>13</v>
      </c>
      <c r="G12" s="1">
        <v>23</v>
      </c>
      <c r="H12" s="1">
        <v>16</v>
      </c>
      <c r="I12" s="1">
        <v>19</v>
      </c>
      <c r="J12" s="1">
        <v>16</v>
      </c>
      <c r="K12" s="1">
        <v>68</v>
      </c>
      <c r="L12" s="1">
        <v>200</v>
      </c>
      <c r="M12" s="10">
        <v>1</v>
      </c>
      <c r="N12">
        <v>54</v>
      </c>
      <c r="O12">
        <v>26</v>
      </c>
      <c r="P12" s="10">
        <v>1</v>
      </c>
      <c r="Q12">
        <v>32.4</v>
      </c>
      <c r="R12">
        <v>47.6</v>
      </c>
      <c r="S12" s="10">
        <v>1</v>
      </c>
      <c r="T12">
        <v>14.400000000000002</v>
      </c>
      <c r="U12">
        <v>9.8016806722689083</v>
      </c>
      <c r="V12" s="12">
        <v>40.336134453781519</v>
      </c>
      <c r="W12">
        <v>0.99999999978618248</v>
      </c>
      <c r="X12" s="12">
        <v>2.1381751924565151E-10</v>
      </c>
      <c r="Y12" s="1" t="s">
        <v>46</v>
      </c>
      <c r="Z12" s="7">
        <v>200</v>
      </c>
      <c r="AA12" s="7">
        <v>63</v>
      </c>
      <c r="AB12" s="7">
        <v>137</v>
      </c>
      <c r="AC12" s="7"/>
    </row>
    <row r="13" spans="1:29" x14ac:dyDescent="0.25">
      <c r="A13" s="7"/>
      <c r="C13" s="1" t="s">
        <v>25</v>
      </c>
      <c r="D13" s="4">
        <v>0.16983000000000004</v>
      </c>
      <c r="E13" s="4">
        <v>2.9970000000000004E-2</v>
      </c>
      <c r="F13" s="4">
        <v>4.2457500000000009E-2</v>
      </c>
      <c r="G13" s="4">
        <v>7.4925000000000009E-3</v>
      </c>
      <c r="H13" s="4">
        <v>5.6610000000000001E-2</v>
      </c>
      <c r="I13" s="4">
        <v>9.9900000000000006E-3</v>
      </c>
      <c r="J13" s="4">
        <v>1.41525E-2</v>
      </c>
      <c r="K13" s="4">
        <v>2.4975000000000002E-3</v>
      </c>
      <c r="M13" s="10">
        <v>2</v>
      </c>
      <c r="N13">
        <v>27</v>
      </c>
      <c r="O13">
        <v>93</v>
      </c>
      <c r="P13" s="10">
        <v>2</v>
      </c>
      <c r="Q13">
        <v>48.6</v>
      </c>
      <c r="R13">
        <v>71.400000000000006</v>
      </c>
      <c r="S13" s="10">
        <v>2</v>
      </c>
      <c r="T13">
        <v>9.6000000000000014</v>
      </c>
      <c r="U13">
        <v>6.5344537815126014</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0.51</v>
      </c>
      <c r="C15" s="1" t="s">
        <v>13</v>
      </c>
      <c r="D15" s="4">
        <v>8.6613300000000018E-2</v>
      </c>
      <c r="E15" s="4">
        <v>1.5284700000000002E-2</v>
      </c>
      <c r="F15" s="4">
        <v>2.1653325000000005E-2</v>
      </c>
      <c r="G15" s="4">
        <v>3.8211750000000004E-3</v>
      </c>
      <c r="H15" s="4">
        <v>2.88711E-2</v>
      </c>
      <c r="I15" s="4">
        <v>5.0949000000000003E-3</v>
      </c>
      <c r="J15" s="4">
        <v>7.2177750000000001E-3</v>
      </c>
      <c r="K15" s="4">
        <v>1.2737250000000001E-3</v>
      </c>
      <c r="AC15" s="7"/>
    </row>
    <row r="16" spans="1:29" x14ac:dyDescent="0.25">
      <c r="A16" s="7"/>
      <c r="B16" s="4">
        <v>9.0000000000000011E-2</v>
      </c>
      <c r="C16" s="1" t="s">
        <v>14</v>
      </c>
      <c r="D16" s="4">
        <v>1.5284700000000005E-2</v>
      </c>
      <c r="E16" s="4">
        <v>2.6973000000000006E-3</v>
      </c>
      <c r="F16" s="4">
        <v>3.8211750000000013E-3</v>
      </c>
      <c r="G16" s="4">
        <v>6.7432500000000014E-4</v>
      </c>
      <c r="H16" s="4">
        <v>5.0949000000000003E-3</v>
      </c>
      <c r="I16" s="4">
        <v>8.9910000000000012E-4</v>
      </c>
      <c r="J16" s="4">
        <v>1.2737250000000001E-3</v>
      </c>
      <c r="K16" s="4">
        <v>2.2477500000000003E-4</v>
      </c>
      <c r="AC16" s="7"/>
    </row>
    <row r="17" spans="1:29" x14ac:dyDescent="0.25">
      <c r="A17" s="7"/>
      <c r="B17" s="4">
        <v>0.1275</v>
      </c>
      <c r="C17" s="1" t="s">
        <v>15</v>
      </c>
      <c r="D17" s="4">
        <v>2.1653325000000005E-2</v>
      </c>
      <c r="E17" s="4">
        <v>3.8211750000000004E-3</v>
      </c>
      <c r="F17" s="4">
        <v>5.4133312500000011E-3</v>
      </c>
      <c r="G17" s="4">
        <v>9.5529375000000011E-4</v>
      </c>
      <c r="H17" s="4">
        <v>7.2177750000000001E-3</v>
      </c>
      <c r="I17" s="4">
        <v>1.2737250000000001E-3</v>
      </c>
      <c r="J17" s="4">
        <v>1.80444375E-3</v>
      </c>
      <c r="K17" s="4">
        <v>3.1843125000000002E-4</v>
      </c>
      <c r="AC17" s="7"/>
    </row>
    <row r="18" spans="1:29" x14ac:dyDescent="0.25">
      <c r="A18" s="7"/>
      <c r="B18" s="4">
        <v>2.2500000000000003E-2</v>
      </c>
      <c r="C18" s="1" t="s">
        <v>16</v>
      </c>
      <c r="D18" s="4">
        <v>3.8211750000000013E-3</v>
      </c>
      <c r="E18" s="4">
        <v>6.7432500000000014E-4</v>
      </c>
      <c r="F18" s="4">
        <v>9.5529375000000033E-4</v>
      </c>
      <c r="G18" s="4">
        <v>1.6858125000000004E-4</v>
      </c>
      <c r="H18" s="4">
        <v>1.2737250000000001E-3</v>
      </c>
      <c r="I18" s="4">
        <v>2.2477500000000003E-4</v>
      </c>
      <c r="J18" s="4">
        <v>3.1843125000000002E-4</v>
      </c>
      <c r="K18" s="4">
        <v>5.6193750000000007E-5</v>
      </c>
      <c r="AC18" s="7"/>
    </row>
    <row r="19" spans="1:29" x14ac:dyDescent="0.25">
      <c r="A19" s="7"/>
      <c r="B19" s="4">
        <v>0.17</v>
      </c>
      <c r="C19" s="1" t="s">
        <v>17</v>
      </c>
      <c r="D19" s="4">
        <v>2.8871100000000007E-2</v>
      </c>
      <c r="E19" s="4">
        <v>5.0949000000000012E-3</v>
      </c>
      <c r="F19" s="4">
        <v>7.2177750000000018E-3</v>
      </c>
      <c r="G19" s="4">
        <v>1.2737250000000003E-3</v>
      </c>
      <c r="H19" s="4">
        <v>9.6237000000000007E-3</v>
      </c>
      <c r="I19" s="4">
        <v>1.6983000000000002E-3</v>
      </c>
      <c r="J19" s="4">
        <v>2.4059250000000002E-3</v>
      </c>
      <c r="K19" s="4">
        <v>4.2457500000000006E-4</v>
      </c>
      <c r="AC19" s="7"/>
    </row>
    <row r="20" spans="1:29" x14ac:dyDescent="0.25">
      <c r="A20" s="7"/>
      <c r="B20" s="4">
        <v>0.03</v>
      </c>
      <c r="C20" s="1" t="s">
        <v>18</v>
      </c>
      <c r="D20" s="4">
        <v>5.0949000000000012E-3</v>
      </c>
      <c r="E20" s="4">
        <v>8.9910000000000012E-4</v>
      </c>
      <c r="F20" s="4">
        <v>1.2737250000000003E-3</v>
      </c>
      <c r="G20" s="4">
        <v>2.2477500000000003E-4</v>
      </c>
      <c r="H20" s="4">
        <v>1.6983E-3</v>
      </c>
      <c r="I20" s="4">
        <v>2.9970000000000002E-4</v>
      </c>
      <c r="J20" s="4">
        <v>4.2457500000000001E-4</v>
      </c>
      <c r="K20" s="4">
        <v>7.4925000000000005E-5</v>
      </c>
      <c r="AC20" s="7"/>
    </row>
    <row r="21" spans="1:29" x14ac:dyDescent="0.25">
      <c r="A21" s="7"/>
      <c r="B21" s="4">
        <v>4.2500000000000003E-2</v>
      </c>
      <c r="C21" s="1" t="s">
        <v>19</v>
      </c>
      <c r="D21" s="4">
        <v>7.2177750000000018E-3</v>
      </c>
      <c r="E21" s="4">
        <v>1.2737250000000003E-3</v>
      </c>
      <c r="F21" s="4">
        <v>1.8044437500000004E-3</v>
      </c>
      <c r="G21" s="4">
        <v>3.1843125000000007E-4</v>
      </c>
      <c r="H21" s="4">
        <v>2.4059250000000002E-3</v>
      </c>
      <c r="I21" s="4">
        <v>4.2457500000000006E-4</v>
      </c>
      <c r="J21" s="4">
        <v>6.0148125000000004E-4</v>
      </c>
      <c r="K21" s="4">
        <v>1.0614375000000002E-4</v>
      </c>
      <c r="M21" t="s">
        <v>62</v>
      </c>
      <c r="AC21" s="7"/>
    </row>
    <row r="22" spans="1:29" x14ac:dyDescent="0.25">
      <c r="A22" s="7"/>
      <c r="B22" s="4">
        <v>7.4999999999999997E-3</v>
      </c>
      <c r="C22" s="1" t="s">
        <v>20</v>
      </c>
      <c r="D22" s="4">
        <v>1.2737250000000003E-3</v>
      </c>
      <c r="E22" s="4">
        <v>2.2477500000000003E-4</v>
      </c>
      <c r="F22" s="4">
        <v>3.1843125000000007E-4</v>
      </c>
      <c r="G22" s="4">
        <v>5.6193750000000007E-5</v>
      </c>
      <c r="H22" s="4">
        <v>4.2457500000000001E-4</v>
      </c>
      <c r="I22" s="4">
        <v>7.4925000000000005E-5</v>
      </c>
      <c r="J22" s="4">
        <v>1.0614375E-4</v>
      </c>
      <c r="K22" s="4">
        <v>1.8731250000000001E-5</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6.5610000000000016E-2</v>
      </c>
      <c r="P24">
        <v>9.6390000000000017E-2</v>
      </c>
      <c r="Q24">
        <v>9.8415000000000002E-2</v>
      </c>
      <c r="R24">
        <v>0.14458499999999999</v>
      </c>
      <c r="S24">
        <v>9.6390000000000003E-2</v>
      </c>
      <c r="T24">
        <v>0.14160999999999999</v>
      </c>
      <c r="U24">
        <v>0.14458499999999999</v>
      </c>
      <c r="V24">
        <v>0.21241499999999999</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9.0000000000000011E-2</v>
      </c>
      <c r="C26" s="1" t="s">
        <v>13</v>
      </c>
      <c r="D26" s="4">
        <v>0</v>
      </c>
      <c r="E26" s="4">
        <v>0</v>
      </c>
      <c r="F26" s="4">
        <v>0</v>
      </c>
      <c r="G26" s="4">
        <v>0</v>
      </c>
      <c r="H26" s="4">
        <v>0</v>
      </c>
      <c r="I26" s="4">
        <v>0</v>
      </c>
      <c r="J26" s="4">
        <v>0</v>
      </c>
      <c r="K26" s="4">
        <v>0</v>
      </c>
      <c r="M26" s="4">
        <v>6.3990000000000005E-2</v>
      </c>
      <c r="N26" s="1" t="s">
        <v>13</v>
      </c>
      <c r="O26">
        <v>4.1983839000000016E-3</v>
      </c>
      <c r="P26">
        <v>6.1679961000000016E-3</v>
      </c>
      <c r="Q26">
        <v>6.2975758500000006E-3</v>
      </c>
      <c r="R26">
        <v>9.2519941499999998E-3</v>
      </c>
      <c r="S26">
        <v>6.1679961000000007E-3</v>
      </c>
      <c r="T26">
        <v>9.0616238999999994E-3</v>
      </c>
      <c r="U26">
        <v>9.2519941499999998E-3</v>
      </c>
      <c r="V26">
        <v>1.3592435850000001E-2</v>
      </c>
      <c r="AC26" s="7"/>
    </row>
    <row r="27" spans="1:29" x14ac:dyDescent="0.25">
      <c r="A27" s="7"/>
      <c r="B27" s="4">
        <v>0.51</v>
      </c>
      <c r="C27" s="1" t="s">
        <v>14</v>
      </c>
      <c r="D27" s="4">
        <v>0</v>
      </c>
      <c r="E27" s="4">
        <v>0</v>
      </c>
      <c r="F27" s="4">
        <v>0</v>
      </c>
      <c r="G27" s="4">
        <v>0</v>
      </c>
      <c r="H27" s="4">
        <v>0</v>
      </c>
      <c r="I27" s="4">
        <v>0</v>
      </c>
      <c r="J27" s="4">
        <v>0</v>
      </c>
      <c r="K27" s="4">
        <v>0</v>
      </c>
      <c r="M27" s="4">
        <v>9.5985000000000001E-2</v>
      </c>
      <c r="N27" s="1" t="s">
        <v>14</v>
      </c>
      <c r="O27">
        <v>6.2975758500000015E-3</v>
      </c>
      <c r="P27">
        <v>9.2519941500000015E-3</v>
      </c>
      <c r="Q27">
        <v>9.446363775000001E-3</v>
      </c>
      <c r="R27">
        <v>1.3877991224999999E-2</v>
      </c>
      <c r="S27">
        <v>9.2519941499999998E-3</v>
      </c>
      <c r="T27">
        <v>1.3592435849999999E-2</v>
      </c>
      <c r="U27">
        <v>1.3877991224999999E-2</v>
      </c>
      <c r="V27">
        <v>2.0388653774999998E-2</v>
      </c>
      <c r="AC27" s="7"/>
    </row>
    <row r="28" spans="1:29" x14ac:dyDescent="0.25">
      <c r="A28" s="7"/>
      <c r="B28" s="4">
        <v>2.2500000000000003E-2</v>
      </c>
      <c r="C28" s="1" t="s">
        <v>15</v>
      </c>
      <c r="D28" s="4">
        <v>0</v>
      </c>
      <c r="E28" s="4">
        <v>0</v>
      </c>
      <c r="F28" s="4">
        <v>0</v>
      </c>
      <c r="G28" s="4">
        <v>0</v>
      </c>
      <c r="H28" s="4">
        <v>0</v>
      </c>
      <c r="I28" s="4">
        <v>0</v>
      </c>
      <c r="J28" s="4">
        <v>0</v>
      </c>
      <c r="K28" s="4">
        <v>0</v>
      </c>
      <c r="M28" s="4">
        <v>9.8010000000000014E-2</v>
      </c>
      <c r="N28" s="1" t="s">
        <v>15</v>
      </c>
      <c r="O28">
        <v>6.4304361000000025E-3</v>
      </c>
      <c r="P28">
        <v>9.447183900000003E-3</v>
      </c>
      <c r="Q28">
        <v>9.645654150000002E-3</v>
      </c>
      <c r="R28">
        <v>1.4170775850000001E-2</v>
      </c>
      <c r="S28">
        <v>9.4471839000000012E-3</v>
      </c>
      <c r="T28">
        <v>1.3879196100000001E-2</v>
      </c>
      <c r="U28">
        <v>1.4170775850000001E-2</v>
      </c>
      <c r="V28">
        <v>2.0818794150000004E-2</v>
      </c>
      <c r="AC28" s="7"/>
    </row>
    <row r="29" spans="1:29" x14ac:dyDescent="0.25">
      <c r="A29" s="7"/>
      <c r="B29" s="4">
        <v>0.1275</v>
      </c>
      <c r="C29" s="1" t="s">
        <v>16</v>
      </c>
      <c r="D29" s="4">
        <v>0</v>
      </c>
      <c r="E29" s="4">
        <v>0</v>
      </c>
      <c r="F29" s="4">
        <v>0</v>
      </c>
      <c r="G29" s="4">
        <v>0</v>
      </c>
      <c r="H29" s="4">
        <v>0</v>
      </c>
      <c r="I29" s="4">
        <v>0</v>
      </c>
      <c r="J29" s="4">
        <v>0</v>
      </c>
      <c r="K29" s="4">
        <v>0</v>
      </c>
      <c r="M29" s="4">
        <v>0.14701500000000001</v>
      </c>
      <c r="N29" s="1" t="s">
        <v>16</v>
      </c>
      <c r="O29">
        <v>9.645654150000002E-3</v>
      </c>
      <c r="P29">
        <v>1.4170775850000003E-2</v>
      </c>
      <c r="Q29">
        <v>1.4468481225000001E-2</v>
      </c>
      <c r="R29">
        <v>2.1256163775E-2</v>
      </c>
      <c r="S29">
        <v>1.4170775850000001E-2</v>
      </c>
      <c r="T29">
        <v>2.081879415E-2</v>
      </c>
      <c r="U29">
        <v>2.1256163775E-2</v>
      </c>
      <c r="V29">
        <v>3.1228191225E-2</v>
      </c>
      <c r="AC29" s="7"/>
    </row>
    <row r="30" spans="1:29" x14ac:dyDescent="0.25">
      <c r="A30" s="7"/>
      <c r="B30" s="4">
        <v>0.03</v>
      </c>
      <c r="C30" s="1" t="s">
        <v>17</v>
      </c>
      <c r="D30" s="4">
        <v>0</v>
      </c>
      <c r="E30" s="4">
        <v>0</v>
      </c>
      <c r="F30" s="4">
        <v>0</v>
      </c>
      <c r="G30" s="4">
        <v>0</v>
      </c>
      <c r="H30" s="4">
        <v>0</v>
      </c>
      <c r="I30" s="4">
        <v>0</v>
      </c>
      <c r="J30" s="4">
        <v>0</v>
      </c>
      <c r="K30" s="4">
        <v>0</v>
      </c>
      <c r="M30" s="4">
        <v>9.401000000000001E-2</v>
      </c>
      <c r="N30" s="1" t="s">
        <v>17</v>
      </c>
      <c r="O30">
        <v>6.1679961000000024E-3</v>
      </c>
      <c r="P30">
        <v>9.0616239000000029E-3</v>
      </c>
      <c r="Q30">
        <v>9.2519941500000015E-3</v>
      </c>
      <c r="R30">
        <v>1.3592435850000001E-2</v>
      </c>
      <c r="S30">
        <v>9.0616239000000012E-3</v>
      </c>
      <c r="T30">
        <v>1.33127561E-2</v>
      </c>
      <c r="U30">
        <v>1.3592435850000001E-2</v>
      </c>
      <c r="V30">
        <v>1.9969134150000001E-2</v>
      </c>
      <c r="AC30" s="7"/>
    </row>
    <row r="31" spans="1:29" x14ac:dyDescent="0.25">
      <c r="A31" s="7"/>
      <c r="B31" s="4">
        <v>0.17</v>
      </c>
      <c r="C31" s="1" t="s">
        <v>18</v>
      </c>
      <c r="D31" s="4">
        <v>0</v>
      </c>
      <c r="E31" s="4">
        <v>0</v>
      </c>
      <c r="F31" s="4">
        <v>0</v>
      </c>
      <c r="G31" s="4">
        <v>0</v>
      </c>
      <c r="H31" s="4">
        <v>0</v>
      </c>
      <c r="I31" s="4">
        <v>0</v>
      </c>
      <c r="J31" s="4">
        <v>0</v>
      </c>
      <c r="K31" s="4">
        <v>0</v>
      </c>
      <c r="M31" s="4">
        <v>0.141015</v>
      </c>
      <c r="N31" s="1" t="s">
        <v>18</v>
      </c>
      <c r="O31">
        <v>9.2519941500000015E-3</v>
      </c>
      <c r="P31">
        <v>1.3592435850000003E-2</v>
      </c>
      <c r="Q31">
        <v>1.3877991225000001E-2</v>
      </c>
      <c r="R31">
        <v>2.0388653774999998E-2</v>
      </c>
      <c r="S31">
        <v>1.3592435850000001E-2</v>
      </c>
      <c r="T31">
        <v>1.9969134149999998E-2</v>
      </c>
      <c r="U31">
        <v>2.0388653774999998E-2</v>
      </c>
      <c r="V31">
        <v>2.9953701225000001E-2</v>
      </c>
      <c r="AC31" s="7"/>
    </row>
    <row r="32" spans="1:29" x14ac:dyDescent="0.25">
      <c r="A32" s="7"/>
      <c r="B32" s="4">
        <v>7.4999999999999997E-3</v>
      </c>
      <c r="C32" s="1" t="s">
        <v>19</v>
      </c>
      <c r="D32" s="4">
        <v>0</v>
      </c>
      <c r="E32" s="4">
        <v>0</v>
      </c>
      <c r="F32" s="4">
        <v>0</v>
      </c>
      <c r="G32" s="4">
        <v>0</v>
      </c>
      <c r="H32" s="4">
        <v>0</v>
      </c>
      <c r="I32" s="4">
        <v>0</v>
      </c>
      <c r="J32" s="4">
        <v>0</v>
      </c>
      <c r="K32" s="4">
        <v>0</v>
      </c>
      <c r="M32" s="4">
        <v>0.14399000000000001</v>
      </c>
      <c r="N32" s="1" t="s">
        <v>19</v>
      </c>
      <c r="O32">
        <v>9.447183900000003E-3</v>
      </c>
      <c r="P32">
        <v>1.3879196100000003E-2</v>
      </c>
      <c r="Q32">
        <v>1.4170775850000001E-2</v>
      </c>
      <c r="R32">
        <v>2.081879415E-2</v>
      </c>
      <c r="S32">
        <v>1.3879196100000001E-2</v>
      </c>
      <c r="T32">
        <v>2.0390423899999999E-2</v>
      </c>
      <c r="U32">
        <v>2.081879415E-2</v>
      </c>
      <c r="V32">
        <v>3.0585635850000001E-2</v>
      </c>
      <c r="AC32" s="7"/>
    </row>
    <row r="33" spans="1:29" x14ac:dyDescent="0.25">
      <c r="A33" s="7"/>
      <c r="B33" s="4">
        <v>4.2500000000000003E-2</v>
      </c>
      <c r="C33" s="1" t="s">
        <v>20</v>
      </c>
      <c r="D33" s="4">
        <v>0</v>
      </c>
      <c r="E33" s="4">
        <v>0</v>
      </c>
      <c r="F33" s="4">
        <v>0</v>
      </c>
      <c r="G33" s="4">
        <v>0</v>
      </c>
      <c r="H33" s="4">
        <v>0</v>
      </c>
      <c r="I33" s="4">
        <v>0</v>
      </c>
      <c r="J33" s="4">
        <v>0</v>
      </c>
      <c r="K33" s="4">
        <v>0</v>
      </c>
      <c r="M33" s="4">
        <v>0.21598499999999998</v>
      </c>
      <c r="N33" s="1" t="s">
        <v>20</v>
      </c>
      <c r="O33">
        <v>1.4170775850000003E-2</v>
      </c>
      <c r="P33">
        <v>2.0818794150000004E-2</v>
      </c>
      <c r="Q33">
        <v>2.1256163775E-2</v>
      </c>
      <c r="R33">
        <v>3.1228191224999997E-2</v>
      </c>
      <c r="S33">
        <v>2.081879415E-2</v>
      </c>
      <c r="T33">
        <v>3.0585635849999994E-2</v>
      </c>
      <c r="U33">
        <v>3.1228191224999997E-2</v>
      </c>
      <c r="V33">
        <v>4.5878453774999994E-2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0.1275</v>
      </c>
      <c r="C37" s="1" t="s">
        <v>13</v>
      </c>
      <c r="D37" s="4">
        <v>0</v>
      </c>
      <c r="E37" s="4">
        <v>0</v>
      </c>
      <c r="F37" s="4">
        <v>0</v>
      </c>
      <c r="G37" s="4">
        <v>0</v>
      </c>
      <c r="H37" s="4">
        <v>0</v>
      </c>
      <c r="I37" s="4">
        <v>0</v>
      </c>
      <c r="J37" s="4">
        <v>0</v>
      </c>
      <c r="K37" s="4">
        <v>0</v>
      </c>
      <c r="N37" s="1" t="s">
        <v>13</v>
      </c>
      <c r="O37" s="5">
        <v>0.83967678000000034</v>
      </c>
      <c r="P37" s="5">
        <v>1.2335992200000003</v>
      </c>
      <c r="Q37" s="5">
        <v>1.2595151700000002</v>
      </c>
      <c r="R37" s="5">
        <v>1.85039883</v>
      </c>
      <c r="S37" s="5">
        <v>1.2335992200000001</v>
      </c>
      <c r="T37" s="5">
        <v>1.81232478</v>
      </c>
      <c r="U37" s="5">
        <v>1.85039883</v>
      </c>
      <c r="V37" s="5">
        <v>2.7184871700000004</v>
      </c>
      <c r="X37">
        <v>12.798000000000002</v>
      </c>
      <c r="Y37">
        <v>0.83967678000000034</v>
      </c>
      <c r="Z37">
        <v>11.958323220000002</v>
      </c>
      <c r="AA37">
        <v>311.01973139577711</v>
      </c>
      <c r="AB37">
        <v>4.1465020606786309</v>
      </c>
      <c r="AC37" s="7"/>
    </row>
    <row r="38" spans="1:29" x14ac:dyDescent="0.25">
      <c r="A38" s="7"/>
      <c r="B38" s="4">
        <v>2.2500000000000003E-2</v>
      </c>
      <c r="C38" s="1" t="s">
        <v>14</v>
      </c>
      <c r="D38" s="4">
        <v>0</v>
      </c>
      <c r="E38" s="4">
        <v>0</v>
      </c>
      <c r="F38" s="4">
        <v>0</v>
      </c>
      <c r="G38" s="4">
        <v>0</v>
      </c>
      <c r="H38" s="4">
        <v>0</v>
      </c>
      <c r="I38" s="4">
        <v>0</v>
      </c>
      <c r="J38" s="4">
        <v>0</v>
      </c>
      <c r="K38" s="4">
        <v>0</v>
      </c>
      <c r="N38" s="1" t="s">
        <v>14</v>
      </c>
      <c r="O38" s="5">
        <v>1.2595151700000002</v>
      </c>
      <c r="P38" s="5">
        <v>1.8503988300000003</v>
      </c>
      <c r="Q38" s="5">
        <v>1.8892727550000001</v>
      </c>
      <c r="R38" s="5">
        <v>2.7755982449999999</v>
      </c>
      <c r="S38" s="5">
        <v>1.85039883</v>
      </c>
      <c r="T38" s="5">
        <v>2.71848717</v>
      </c>
      <c r="U38" s="5">
        <v>2.7755982449999999</v>
      </c>
      <c r="V38" s="5">
        <v>4.0777307549999993</v>
      </c>
      <c r="X38">
        <v>19.196999999999999</v>
      </c>
      <c r="Y38">
        <v>1.8503988300000003</v>
      </c>
      <c r="Z38">
        <v>17.34660117</v>
      </c>
      <c r="AA38">
        <v>0.39082286388246862</v>
      </c>
      <c r="AB38">
        <v>5.0360847393048909</v>
      </c>
      <c r="AC38" s="7"/>
    </row>
    <row r="39" spans="1:29" x14ac:dyDescent="0.25">
      <c r="A39" s="7"/>
      <c r="B39" s="4">
        <v>0.51</v>
      </c>
      <c r="C39" s="1" t="s">
        <v>15</v>
      </c>
      <c r="D39" s="4">
        <v>0</v>
      </c>
      <c r="E39" s="4">
        <v>0</v>
      </c>
      <c r="F39" s="4">
        <v>0</v>
      </c>
      <c r="G39" s="4">
        <v>0</v>
      </c>
      <c r="H39" s="4">
        <v>0</v>
      </c>
      <c r="I39" s="4">
        <v>0</v>
      </c>
      <c r="J39" s="4">
        <v>0</v>
      </c>
      <c r="K39" s="4">
        <v>0</v>
      </c>
      <c r="N39" s="1" t="s">
        <v>15</v>
      </c>
      <c r="O39" s="5">
        <v>1.2860872200000004</v>
      </c>
      <c r="P39" s="5">
        <v>1.8894367800000005</v>
      </c>
      <c r="Q39" s="5">
        <v>1.9291308300000005</v>
      </c>
      <c r="R39" s="5">
        <v>2.8341551700000003</v>
      </c>
      <c r="S39" s="5">
        <v>1.8894367800000003</v>
      </c>
      <c r="T39" s="5">
        <v>2.7758392200000004</v>
      </c>
      <c r="U39" s="5">
        <v>2.8341551700000003</v>
      </c>
      <c r="V39" s="5">
        <v>4.1637588300000008</v>
      </c>
      <c r="X39">
        <v>19.602000000000004</v>
      </c>
      <c r="Y39">
        <v>1.9291308300000005</v>
      </c>
      <c r="Z39">
        <v>17.672869170000002</v>
      </c>
      <c r="AA39">
        <v>1.9291308300000005</v>
      </c>
      <c r="AB39">
        <v>1.2355495912912087</v>
      </c>
      <c r="AC39" s="7"/>
    </row>
    <row r="40" spans="1:29" x14ac:dyDescent="0.25">
      <c r="A40" s="7"/>
      <c r="B40" s="4">
        <v>9.0000000000000011E-2</v>
      </c>
      <c r="C40" s="1" t="s">
        <v>16</v>
      </c>
      <c r="D40" s="4">
        <v>0</v>
      </c>
      <c r="E40" s="4">
        <v>0</v>
      </c>
      <c r="F40" s="4">
        <v>0</v>
      </c>
      <c r="G40" s="4">
        <v>0</v>
      </c>
      <c r="H40" s="4">
        <v>0</v>
      </c>
      <c r="I40" s="4">
        <v>0</v>
      </c>
      <c r="J40" s="4">
        <v>0</v>
      </c>
      <c r="K40" s="4">
        <v>0</v>
      </c>
      <c r="N40" s="1" t="s">
        <v>16</v>
      </c>
      <c r="O40" s="5">
        <v>1.9291308300000005</v>
      </c>
      <c r="P40" s="5">
        <v>2.8341551700000007</v>
      </c>
      <c r="Q40" s="5">
        <v>2.8936962450000001</v>
      </c>
      <c r="R40" s="5">
        <v>4.2512327550000002</v>
      </c>
      <c r="S40" s="5">
        <v>2.8341551700000003</v>
      </c>
      <c r="T40" s="5">
        <v>4.1637588299999999</v>
      </c>
      <c r="U40" s="5">
        <v>4.2512327550000002</v>
      </c>
      <c r="V40" s="5">
        <v>6.2456382450000003</v>
      </c>
      <c r="X40">
        <v>29.403000000000006</v>
      </c>
      <c r="Y40">
        <v>4.2512327550000002</v>
      </c>
      <c r="Z40">
        <v>25.151767245000006</v>
      </c>
      <c r="AA40">
        <v>0.36826574723380218</v>
      </c>
      <c r="AB40">
        <v>1.055222302597089</v>
      </c>
      <c r="AC40" s="7"/>
    </row>
    <row r="41" spans="1:29" x14ac:dyDescent="0.25">
      <c r="A41" s="7"/>
      <c r="B41" s="4">
        <v>4.2500000000000003E-2</v>
      </c>
      <c r="C41" s="1" t="s">
        <v>17</v>
      </c>
      <c r="D41" s="4">
        <v>0</v>
      </c>
      <c r="E41" s="4">
        <v>0</v>
      </c>
      <c r="F41" s="4">
        <v>0</v>
      </c>
      <c r="G41" s="4">
        <v>0</v>
      </c>
      <c r="H41" s="4">
        <v>0</v>
      </c>
      <c r="I41" s="4">
        <v>0</v>
      </c>
      <c r="J41" s="4">
        <v>0</v>
      </c>
      <c r="K41" s="4">
        <v>0</v>
      </c>
      <c r="N41" s="1" t="s">
        <v>17</v>
      </c>
      <c r="O41" s="5">
        <v>1.2335992200000006</v>
      </c>
      <c r="P41" s="5">
        <v>1.8123247800000006</v>
      </c>
      <c r="Q41" s="5">
        <v>1.8503988300000003</v>
      </c>
      <c r="R41" s="5">
        <v>2.7184871700000004</v>
      </c>
      <c r="S41" s="5">
        <v>1.8123247800000002</v>
      </c>
      <c r="T41" s="5">
        <v>2.6625512200000001</v>
      </c>
      <c r="U41" s="5">
        <v>2.7184871700000004</v>
      </c>
      <c r="V41" s="5">
        <v>3.9938268300000002</v>
      </c>
      <c r="X41">
        <v>18.802000000000003</v>
      </c>
      <c r="Y41">
        <v>1.8123247800000002</v>
      </c>
      <c r="Z41">
        <v>16.989675220000002</v>
      </c>
      <c r="AA41">
        <v>1.9434699889745104E-2</v>
      </c>
      <c r="AB41">
        <v>0.9368930338553032</v>
      </c>
      <c r="AC41" s="7"/>
    </row>
    <row r="42" spans="1:29" x14ac:dyDescent="0.25">
      <c r="A42" s="7"/>
      <c r="B42" s="4">
        <v>7.4999999999999997E-3</v>
      </c>
      <c r="C42" s="1" t="s">
        <v>18</v>
      </c>
      <c r="D42" s="4">
        <v>0</v>
      </c>
      <c r="E42" s="4">
        <v>0</v>
      </c>
      <c r="F42" s="4">
        <v>0</v>
      </c>
      <c r="G42" s="4">
        <v>0</v>
      </c>
      <c r="H42" s="4">
        <v>0</v>
      </c>
      <c r="I42" s="4">
        <v>0</v>
      </c>
      <c r="J42" s="4">
        <v>0</v>
      </c>
      <c r="K42" s="4">
        <v>0</v>
      </c>
      <c r="N42" s="1" t="s">
        <v>18</v>
      </c>
      <c r="O42" s="5">
        <v>1.8503988300000003</v>
      </c>
      <c r="P42" s="5">
        <v>2.7184871700000004</v>
      </c>
      <c r="Q42" s="5">
        <v>2.7755982450000003</v>
      </c>
      <c r="R42" s="5">
        <v>4.0777307549999993</v>
      </c>
      <c r="S42" s="5">
        <v>2.7184871700000004</v>
      </c>
      <c r="T42" s="5">
        <v>3.9938268299999997</v>
      </c>
      <c r="U42" s="5">
        <v>4.0777307549999993</v>
      </c>
      <c r="V42" s="5">
        <v>5.9907402450000005</v>
      </c>
      <c r="X42">
        <v>28.202999999999999</v>
      </c>
      <c r="Y42">
        <v>3.9938268299999997</v>
      </c>
      <c r="Z42">
        <v>24.20917317</v>
      </c>
      <c r="AA42">
        <v>0.99537250793316145</v>
      </c>
      <c r="AB42">
        <v>2.1467968951311294</v>
      </c>
      <c r="AC42" s="7"/>
    </row>
    <row r="43" spans="1:29" x14ac:dyDescent="0.25">
      <c r="A43" s="7"/>
      <c r="B43" s="4">
        <v>0.17</v>
      </c>
      <c r="C43" s="1" t="s">
        <v>19</v>
      </c>
      <c r="D43" s="4">
        <v>0</v>
      </c>
      <c r="E43" s="4">
        <v>0</v>
      </c>
      <c r="F43" s="4">
        <v>0</v>
      </c>
      <c r="G43" s="4">
        <v>0</v>
      </c>
      <c r="H43" s="4">
        <v>0</v>
      </c>
      <c r="I43" s="4">
        <v>0</v>
      </c>
      <c r="J43" s="4">
        <v>0</v>
      </c>
      <c r="K43" s="4">
        <v>0</v>
      </c>
      <c r="N43" s="1" t="s">
        <v>19</v>
      </c>
      <c r="O43" s="5">
        <v>1.8894367800000005</v>
      </c>
      <c r="P43" s="5">
        <v>2.7758392200000004</v>
      </c>
      <c r="Q43" s="5">
        <v>2.8341551700000003</v>
      </c>
      <c r="R43" s="5">
        <v>4.1637588299999999</v>
      </c>
      <c r="S43" s="5">
        <v>2.7758392200000004</v>
      </c>
      <c r="T43" s="5">
        <v>4.0780847800000002</v>
      </c>
      <c r="U43" s="5">
        <v>4.1637588299999999</v>
      </c>
      <c r="V43" s="5">
        <v>6.1171271699999998</v>
      </c>
      <c r="X43">
        <v>28.797999999999998</v>
      </c>
      <c r="Y43">
        <v>4.1637588299999999</v>
      </c>
      <c r="Z43">
        <v>24.634241169999999</v>
      </c>
      <c r="AA43">
        <v>1.124429263450633</v>
      </c>
      <c r="AB43">
        <v>4.590646185580189</v>
      </c>
      <c r="AC43" s="7"/>
    </row>
    <row r="44" spans="1:29" x14ac:dyDescent="0.25">
      <c r="A44" s="7"/>
      <c r="B44" s="4">
        <v>0.03</v>
      </c>
      <c r="C44" s="1" t="s">
        <v>20</v>
      </c>
      <c r="D44" s="4">
        <v>0</v>
      </c>
      <c r="E44" s="4">
        <v>0</v>
      </c>
      <c r="F44" s="4">
        <v>0</v>
      </c>
      <c r="G44" s="4">
        <v>0</v>
      </c>
      <c r="H44" s="4">
        <v>0</v>
      </c>
      <c r="I44" s="4">
        <v>0</v>
      </c>
      <c r="J44" s="4">
        <v>0</v>
      </c>
      <c r="K44" s="4">
        <v>0</v>
      </c>
      <c r="N44" s="1" t="s">
        <v>20</v>
      </c>
      <c r="O44" s="5">
        <v>2.8341551700000007</v>
      </c>
      <c r="P44" s="5">
        <v>4.1637588300000008</v>
      </c>
      <c r="Q44" s="5">
        <v>4.2512327550000002</v>
      </c>
      <c r="R44" s="5">
        <v>6.2456382449999994</v>
      </c>
      <c r="S44" s="5">
        <v>4.1637588299999999</v>
      </c>
      <c r="T44" s="5">
        <v>6.1171271699999989</v>
      </c>
      <c r="U44" s="5">
        <v>6.2456382449999994</v>
      </c>
      <c r="V44" s="5">
        <v>9.175690754999998</v>
      </c>
      <c r="X44">
        <v>43.196999999999996</v>
      </c>
      <c r="Y44">
        <v>9.175690754999998</v>
      </c>
      <c r="Z44">
        <v>34.021309244999998</v>
      </c>
      <c r="AA44">
        <v>78.418463054598959</v>
      </c>
      <c r="AB44">
        <v>3.0659389572897232E-2</v>
      </c>
      <c r="AC44" s="7"/>
    </row>
    <row r="45" spans="1:29" x14ac:dyDescent="0.25">
      <c r="A45" s="7"/>
      <c r="X45" s="9">
        <v>200.00000000000003</v>
      </c>
      <c r="Y45" s="9">
        <v>28.016040390000001</v>
      </c>
      <c r="Z45" s="9">
        <v>171.98395961000003</v>
      </c>
      <c r="AA45" s="9">
        <v>394.26565036276588</v>
      </c>
      <c r="AB45" s="9">
        <v>19.178354198011341</v>
      </c>
      <c r="AC45" s="7"/>
    </row>
    <row r="46" spans="1:29" x14ac:dyDescent="0.25">
      <c r="A46" s="7"/>
      <c r="C46" s="1" t="s">
        <v>28</v>
      </c>
      <c r="D46" s="4">
        <v>0</v>
      </c>
      <c r="E46" s="4">
        <v>0</v>
      </c>
      <c r="F46" s="4">
        <v>0</v>
      </c>
      <c r="G46" s="4">
        <v>0</v>
      </c>
      <c r="H46" s="4">
        <v>0</v>
      </c>
      <c r="I46" s="4">
        <v>0</v>
      </c>
      <c r="J46" s="4">
        <v>0</v>
      </c>
      <c r="K46" s="4">
        <v>0</v>
      </c>
      <c r="P46" t="s">
        <v>70</v>
      </c>
      <c r="AB46" s="22">
        <v>413.44400456077722</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2.2500000000000003E-2</v>
      </c>
      <c r="C48" s="1" t="s">
        <v>13</v>
      </c>
      <c r="D48" s="4">
        <v>0</v>
      </c>
      <c r="E48" s="4">
        <v>0</v>
      </c>
      <c r="F48" s="4">
        <v>0</v>
      </c>
      <c r="G48" s="4">
        <v>0</v>
      </c>
      <c r="H48" s="4">
        <v>0</v>
      </c>
      <c r="I48" s="4">
        <v>0</v>
      </c>
      <c r="J48" s="4">
        <v>0</v>
      </c>
      <c r="K48" s="4">
        <v>0</v>
      </c>
      <c r="N48" s="1" t="s">
        <v>13</v>
      </c>
      <c r="O48">
        <v>311.01973139577711</v>
      </c>
      <c r="P48">
        <v>2.5293236774133225</v>
      </c>
      <c r="Q48">
        <v>5.9628159170644421</v>
      </c>
      <c r="R48">
        <v>0.39082286388246851</v>
      </c>
      <c r="S48">
        <v>18.416497049653294</v>
      </c>
      <c r="T48">
        <v>0.36410225997243623</v>
      </c>
      <c r="U48">
        <v>1.2094965529873842E-2</v>
      </c>
      <c r="V48">
        <v>0.18989378325983028</v>
      </c>
      <c r="W48" s="7">
        <v>338.88528191255278</v>
      </c>
      <c r="Z48" t="s">
        <v>67</v>
      </c>
      <c r="AC48" s="7"/>
    </row>
    <row r="49" spans="1:29" x14ac:dyDescent="0.25">
      <c r="A49" s="7"/>
      <c r="B49" s="4">
        <v>0.1275</v>
      </c>
      <c r="C49" s="1" t="s">
        <v>14</v>
      </c>
      <c r="D49" s="4">
        <v>0</v>
      </c>
      <c r="E49" s="4">
        <v>0</v>
      </c>
      <c r="F49" s="4">
        <v>0</v>
      </c>
      <c r="G49" s="4">
        <v>0</v>
      </c>
      <c r="H49" s="4">
        <v>0</v>
      </c>
      <c r="I49" s="4">
        <v>0</v>
      </c>
      <c r="J49" s="4">
        <v>0</v>
      </c>
      <c r="K49" s="4">
        <v>0</v>
      </c>
      <c r="N49" s="1" t="s">
        <v>14</v>
      </c>
      <c r="O49">
        <v>2.4051218402237486</v>
      </c>
      <c r="P49">
        <v>0.39082286388246862</v>
      </c>
      <c r="Q49">
        <v>0.41857695279435192</v>
      </c>
      <c r="R49">
        <v>1.1358809342549789</v>
      </c>
      <c r="S49">
        <v>0.39082286388246851</v>
      </c>
      <c r="T49">
        <v>1.0863388233149573</v>
      </c>
      <c r="U49">
        <v>2.7755982449999999</v>
      </c>
      <c r="V49">
        <v>2.3229651905433042</v>
      </c>
      <c r="W49" s="7">
        <v>10.926127713896278</v>
      </c>
      <c r="Z49" t="s">
        <v>69</v>
      </c>
      <c r="AB49">
        <v>12</v>
      </c>
      <c r="AC49" s="7"/>
    </row>
    <row r="50" spans="1:29" x14ac:dyDescent="0.25">
      <c r="A50" s="7"/>
      <c r="B50" s="4">
        <v>9.0000000000000011E-2</v>
      </c>
      <c r="C50" s="1" t="s">
        <v>15</v>
      </c>
      <c r="D50" s="4">
        <v>0</v>
      </c>
      <c r="E50" s="4">
        <v>0</v>
      </c>
      <c r="F50" s="4">
        <v>0</v>
      </c>
      <c r="G50" s="4">
        <v>0</v>
      </c>
      <c r="H50" s="4">
        <v>0</v>
      </c>
      <c r="I50" s="4">
        <v>0</v>
      </c>
      <c r="J50" s="4">
        <v>0</v>
      </c>
      <c r="K50" s="4">
        <v>0</v>
      </c>
      <c r="N50" s="1" t="s">
        <v>15</v>
      </c>
      <c r="O50">
        <v>10.724893244369008</v>
      </c>
      <c r="P50">
        <v>0.41869502805845088</v>
      </c>
      <c r="Q50">
        <v>1.9291308300000005</v>
      </c>
      <c r="R50">
        <v>1.1869940020389673</v>
      </c>
      <c r="S50">
        <v>6.4697722338020441E-3</v>
      </c>
      <c r="T50">
        <v>1.1360906325439877</v>
      </c>
      <c r="U50">
        <v>1.1869940020389673</v>
      </c>
      <c r="V50">
        <v>1.1244292634506334</v>
      </c>
      <c r="W50" s="7">
        <v>17.713696774733815</v>
      </c>
      <c r="AC50" s="7"/>
    </row>
    <row r="51" spans="1:29" x14ac:dyDescent="0.25">
      <c r="A51" s="7"/>
      <c r="B51" s="4">
        <v>0.51</v>
      </c>
      <c r="C51" s="1" t="s">
        <v>16</v>
      </c>
      <c r="D51" s="4">
        <v>0</v>
      </c>
      <c r="E51" s="4">
        <v>0</v>
      </c>
      <c r="F51" s="4">
        <v>0</v>
      </c>
      <c r="G51" s="4">
        <v>0</v>
      </c>
      <c r="H51" s="4">
        <v>0</v>
      </c>
      <c r="I51" s="4">
        <v>0</v>
      </c>
      <c r="J51" s="4">
        <v>0</v>
      </c>
      <c r="K51" s="4">
        <v>0</v>
      </c>
      <c r="N51" s="1" t="s">
        <v>16</v>
      </c>
      <c r="O51">
        <v>0.44749899064984078</v>
      </c>
      <c r="P51">
        <v>1.1869940020389678</v>
      </c>
      <c r="Q51">
        <v>1.2392750187665604</v>
      </c>
      <c r="R51">
        <v>0.36826574723380218</v>
      </c>
      <c r="S51">
        <v>1.1869940020389673</v>
      </c>
      <c r="T51">
        <v>0.32526730526392389</v>
      </c>
      <c r="U51">
        <v>1.1921363071039122</v>
      </c>
      <c r="V51">
        <v>3.6191586529210955</v>
      </c>
      <c r="W51" s="7">
        <v>9.5655900260170696</v>
      </c>
      <c r="AC51" s="7"/>
    </row>
    <row r="52" spans="1:29" x14ac:dyDescent="0.25">
      <c r="A52" s="7"/>
      <c r="B52" s="4">
        <v>7.4999999999999997E-3</v>
      </c>
      <c r="C52" s="1" t="s">
        <v>17</v>
      </c>
      <c r="D52" s="4">
        <v>0</v>
      </c>
      <c r="E52" s="4">
        <v>0</v>
      </c>
      <c r="F52" s="4">
        <v>0</v>
      </c>
      <c r="G52" s="4">
        <v>0</v>
      </c>
      <c r="H52" s="4">
        <v>0</v>
      </c>
      <c r="I52" s="4">
        <v>0</v>
      </c>
      <c r="J52" s="4">
        <v>0</v>
      </c>
      <c r="K52" s="4">
        <v>0</v>
      </c>
      <c r="N52" s="1" t="s">
        <v>17</v>
      </c>
      <c r="O52">
        <v>18.416497049653287</v>
      </c>
      <c r="P52">
        <v>0.36410225997243673</v>
      </c>
      <c r="Q52">
        <v>1.2094965529873802E-2</v>
      </c>
      <c r="R52">
        <v>1.0863388233149578</v>
      </c>
      <c r="S52">
        <v>1.9434699889745104E-2</v>
      </c>
      <c r="T52">
        <v>2.6625512200000001</v>
      </c>
      <c r="U52">
        <v>1.0863388233149578</v>
      </c>
      <c r="V52">
        <v>0.99537250793316179</v>
      </c>
      <c r="W52" s="7">
        <v>24.642730349608421</v>
      </c>
      <c r="AC52" s="7"/>
    </row>
    <row r="53" spans="1:29" x14ac:dyDescent="0.25">
      <c r="A53" s="7"/>
      <c r="B53" s="4">
        <v>4.2500000000000003E-2</v>
      </c>
      <c r="C53" s="1" t="s">
        <v>18</v>
      </c>
      <c r="D53" s="4">
        <v>0</v>
      </c>
      <c r="E53" s="4">
        <v>0</v>
      </c>
      <c r="F53" s="4">
        <v>0</v>
      </c>
      <c r="G53" s="4">
        <v>0</v>
      </c>
      <c r="H53" s="4">
        <v>0</v>
      </c>
      <c r="I53" s="4">
        <v>0</v>
      </c>
      <c r="J53" s="4">
        <v>0</v>
      </c>
      <c r="K53" s="4">
        <v>0</v>
      </c>
      <c r="N53" s="1" t="s">
        <v>18</v>
      </c>
      <c r="O53">
        <v>0.39082286388246862</v>
      </c>
      <c r="P53">
        <v>1.0863388233149578</v>
      </c>
      <c r="Q53">
        <v>1.1358809342549792</v>
      </c>
      <c r="R53">
        <v>0.28484067488974479</v>
      </c>
      <c r="S53">
        <v>1.0863388233149578</v>
      </c>
      <c r="T53">
        <v>0.99537250793316145</v>
      </c>
      <c r="U53">
        <v>1.0586684971732196</v>
      </c>
      <c r="V53">
        <v>0.67389414295372396</v>
      </c>
      <c r="W53" s="7">
        <v>6.7121572677172141</v>
      </c>
      <c r="AC53" s="7"/>
    </row>
    <row r="54" spans="1:29" x14ac:dyDescent="0.25">
      <c r="A54" s="7"/>
      <c r="B54" s="4">
        <v>0.03</v>
      </c>
      <c r="C54" s="1" t="s">
        <v>19</v>
      </c>
      <c r="D54" s="4">
        <v>0</v>
      </c>
      <c r="E54" s="4">
        <v>0</v>
      </c>
      <c r="F54" s="4">
        <v>0</v>
      </c>
      <c r="G54" s="4">
        <v>0</v>
      </c>
      <c r="H54" s="4">
        <v>0</v>
      </c>
      <c r="I54" s="4">
        <v>0</v>
      </c>
      <c r="J54" s="4">
        <v>0</v>
      </c>
      <c r="K54" s="4">
        <v>0</v>
      </c>
      <c r="N54" s="1" t="s">
        <v>19</v>
      </c>
      <c r="O54">
        <v>6.4697722338020163E-3</v>
      </c>
      <c r="P54">
        <v>2.7758392200000004</v>
      </c>
      <c r="Q54">
        <v>1.1869940020389673</v>
      </c>
      <c r="R54">
        <v>1.124429263450633</v>
      </c>
      <c r="S54">
        <v>1.1360906325439877</v>
      </c>
      <c r="T54">
        <v>1.0589373654138816</v>
      </c>
      <c r="U54">
        <v>1.124429263450633</v>
      </c>
      <c r="V54">
        <v>2.2426824832887794E-3</v>
      </c>
      <c r="W54" s="7">
        <v>8.415432201615193</v>
      </c>
      <c r="AC54" s="7"/>
    </row>
    <row r="55" spans="1:29" x14ac:dyDescent="0.25">
      <c r="A55" s="7"/>
      <c r="B55" s="4">
        <v>0.17</v>
      </c>
      <c r="C55" s="1" t="s">
        <v>20</v>
      </c>
      <c r="D55" s="4">
        <v>0</v>
      </c>
      <c r="E55" s="4">
        <v>0</v>
      </c>
      <c r="F55" s="4">
        <v>0</v>
      </c>
      <c r="G55" s="4">
        <v>0</v>
      </c>
      <c r="H55" s="4">
        <v>0</v>
      </c>
      <c r="I55" s="4">
        <v>0</v>
      </c>
      <c r="J55" s="4">
        <v>0</v>
      </c>
      <c r="K55" s="4">
        <v>0</v>
      </c>
      <c r="N55" s="1" t="s">
        <v>20</v>
      </c>
      <c r="O55">
        <v>1.1869940020389678</v>
      </c>
      <c r="P55">
        <v>2.4039264383626588</v>
      </c>
      <c r="Q55">
        <v>0.36826574723380218</v>
      </c>
      <c r="R55">
        <v>3.6191586529210977</v>
      </c>
      <c r="S55">
        <v>1.124429263450633</v>
      </c>
      <c r="T55">
        <v>1.3586370730874009</v>
      </c>
      <c r="U55">
        <v>9.6608457037972023E-3</v>
      </c>
      <c r="V55">
        <v>78.418463054598959</v>
      </c>
      <c r="W55" s="7">
        <v>88.489535077397321</v>
      </c>
      <c r="AC55" s="7"/>
    </row>
    <row r="56" spans="1:29" x14ac:dyDescent="0.25">
      <c r="A56" s="7"/>
      <c r="O56" s="7">
        <v>344.59802915882818</v>
      </c>
      <c r="P56" s="7">
        <v>11.156042313043264</v>
      </c>
      <c r="Q56" s="7">
        <v>12.253034367682979</v>
      </c>
      <c r="R56" s="7">
        <v>9.1967309619866509</v>
      </c>
      <c r="S56" s="7">
        <v>23.367077107007859</v>
      </c>
      <c r="T56" s="7">
        <v>8.987297187529748</v>
      </c>
      <c r="U56" s="7">
        <v>8.4459209493153615</v>
      </c>
      <c r="V56" s="7">
        <v>87.346419278143998</v>
      </c>
      <c r="W56" s="22">
        <v>505.35055132353796</v>
      </c>
      <c r="X56" t="s">
        <v>64</v>
      </c>
      <c r="AC56" s="7"/>
    </row>
    <row r="57" spans="1:29" x14ac:dyDescent="0.25">
      <c r="A57" s="7"/>
      <c r="C57" s="1" t="s">
        <v>29</v>
      </c>
      <c r="D57" s="4">
        <v>0</v>
      </c>
      <c r="E57" s="4">
        <v>0</v>
      </c>
      <c r="F57" s="4">
        <v>0</v>
      </c>
      <c r="G57" s="4">
        <v>0</v>
      </c>
      <c r="H57" s="4">
        <v>0</v>
      </c>
      <c r="I57" s="4">
        <v>0</v>
      </c>
      <c r="J57" s="4">
        <v>0</v>
      </c>
      <c r="K57" s="4">
        <v>0</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0.17</v>
      </c>
      <c r="C59" s="1" t="s">
        <v>13</v>
      </c>
      <c r="D59" s="4">
        <v>0</v>
      </c>
      <c r="E59" s="4">
        <v>0</v>
      </c>
      <c r="F59" s="4">
        <v>0</v>
      </c>
      <c r="G59" s="4">
        <v>0</v>
      </c>
      <c r="H59" s="4">
        <v>0</v>
      </c>
      <c r="I59" s="4">
        <v>0</v>
      </c>
      <c r="J59" s="4">
        <v>0</v>
      </c>
      <c r="K59" s="4">
        <v>0</v>
      </c>
      <c r="AC59" s="7"/>
    </row>
    <row r="60" spans="1:29" x14ac:dyDescent="0.25">
      <c r="A60" s="7"/>
      <c r="B60" s="4">
        <v>0.03</v>
      </c>
      <c r="C60" s="1" t="s">
        <v>14</v>
      </c>
      <c r="D60" s="4">
        <v>0</v>
      </c>
      <c r="E60" s="4">
        <v>0</v>
      </c>
      <c r="F60" s="4">
        <v>0</v>
      </c>
      <c r="G60" s="4">
        <v>0</v>
      </c>
      <c r="H60" s="4">
        <v>0</v>
      </c>
      <c r="I60" s="4">
        <v>0</v>
      </c>
      <c r="J60" s="4">
        <v>0</v>
      </c>
      <c r="K60" s="4">
        <v>0</v>
      </c>
      <c r="O60" s="23"/>
      <c r="P60" s="23"/>
      <c r="Q60" s="23"/>
      <c r="R60" s="23"/>
      <c r="S60" s="23"/>
      <c r="T60" s="23"/>
      <c r="U60" s="23"/>
      <c r="V60" s="23"/>
      <c r="AC60" s="7"/>
    </row>
    <row r="61" spans="1:29" x14ac:dyDescent="0.25">
      <c r="A61" s="7"/>
      <c r="B61" s="4">
        <v>4.2500000000000003E-2</v>
      </c>
      <c r="C61" s="1" t="s">
        <v>15</v>
      </c>
      <c r="D61" s="4">
        <v>0</v>
      </c>
      <c r="E61" s="4">
        <v>0</v>
      </c>
      <c r="F61" s="4">
        <v>0</v>
      </c>
      <c r="G61" s="4">
        <v>0</v>
      </c>
      <c r="H61" s="4">
        <v>0</v>
      </c>
      <c r="I61" s="4">
        <v>0</v>
      </c>
      <c r="J61" s="4">
        <v>0</v>
      </c>
      <c r="K61" s="4">
        <v>0</v>
      </c>
      <c r="O61" s="23"/>
      <c r="P61" s="23"/>
      <c r="Q61" s="23"/>
      <c r="R61" s="23"/>
      <c r="S61" s="23"/>
      <c r="T61" s="23"/>
      <c r="U61" s="23"/>
      <c r="V61" s="23"/>
      <c r="AC61" s="7"/>
    </row>
    <row r="62" spans="1:29" x14ac:dyDescent="0.25">
      <c r="A62" s="7"/>
      <c r="B62" s="4">
        <v>7.4999999999999997E-3</v>
      </c>
      <c r="C62" s="1" t="s">
        <v>16</v>
      </c>
      <c r="D62" s="4">
        <v>0</v>
      </c>
      <c r="E62" s="4">
        <v>0</v>
      </c>
      <c r="F62" s="4">
        <v>0</v>
      </c>
      <c r="G62" s="4">
        <v>0</v>
      </c>
      <c r="H62" s="4">
        <v>0</v>
      </c>
      <c r="I62" s="4">
        <v>0</v>
      </c>
      <c r="J62" s="4">
        <v>0</v>
      </c>
      <c r="K62" s="4">
        <v>0</v>
      </c>
      <c r="O62" s="23"/>
      <c r="P62" s="23"/>
      <c r="Q62" s="23"/>
      <c r="R62" s="23"/>
      <c r="S62" s="23"/>
      <c r="T62" s="23"/>
      <c r="U62" s="23"/>
      <c r="V62" s="23"/>
      <c r="AC62" s="7"/>
    </row>
    <row r="63" spans="1:29" x14ac:dyDescent="0.25">
      <c r="A63" s="7"/>
      <c r="B63" s="4">
        <v>0.51</v>
      </c>
      <c r="C63" s="1" t="s">
        <v>17</v>
      </c>
      <c r="D63" s="4">
        <v>0</v>
      </c>
      <c r="E63" s="4">
        <v>0</v>
      </c>
      <c r="F63" s="4">
        <v>0</v>
      </c>
      <c r="G63" s="4">
        <v>0</v>
      </c>
      <c r="H63" s="4">
        <v>0</v>
      </c>
      <c r="I63" s="4">
        <v>0</v>
      </c>
      <c r="J63" s="4">
        <v>0</v>
      </c>
      <c r="K63" s="4">
        <v>0</v>
      </c>
      <c r="O63" s="23"/>
      <c r="P63" s="23"/>
      <c r="Q63" s="23"/>
      <c r="R63" s="23"/>
      <c r="S63" s="23"/>
      <c r="T63" s="23"/>
      <c r="U63" s="23"/>
      <c r="V63" s="23"/>
      <c r="AC63" s="7"/>
    </row>
    <row r="64" spans="1:29" x14ac:dyDescent="0.25">
      <c r="A64" s="7"/>
      <c r="B64" s="4">
        <v>9.0000000000000011E-2</v>
      </c>
      <c r="C64" s="1" t="s">
        <v>18</v>
      </c>
      <c r="D64" s="4">
        <v>0</v>
      </c>
      <c r="E64" s="4">
        <v>0</v>
      </c>
      <c r="F64" s="4">
        <v>0</v>
      </c>
      <c r="G64" s="4">
        <v>0</v>
      </c>
      <c r="H64" s="4">
        <v>0</v>
      </c>
      <c r="I64" s="4">
        <v>0</v>
      </c>
      <c r="J64" s="4">
        <v>0</v>
      </c>
      <c r="K64" s="4">
        <v>0</v>
      </c>
      <c r="O64" s="23"/>
      <c r="P64" s="23"/>
      <c r="Q64" s="23"/>
      <c r="R64" s="23"/>
      <c r="S64" s="23"/>
      <c r="T64" s="23"/>
      <c r="U64" s="23"/>
      <c r="V64" s="23"/>
      <c r="AC64" s="7"/>
    </row>
    <row r="65" spans="1:29" x14ac:dyDescent="0.25">
      <c r="A65" s="7"/>
      <c r="B65" s="4">
        <v>0.1275</v>
      </c>
      <c r="C65" s="1" t="s">
        <v>19</v>
      </c>
      <c r="D65" s="4">
        <v>0</v>
      </c>
      <c r="E65" s="4">
        <v>0</v>
      </c>
      <c r="F65" s="4">
        <v>0</v>
      </c>
      <c r="G65" s="4">
        <v>0</v>
      </c>
      <c r="H65" s="4">
        <v>0</v>
      </c>
      <c r="I65" s="4">
        <v>0</v>
      </c>
      <c r="J65" s="4">
        <v>0</v>
      </c>
      <c r="K65" s="4">
        <v>0</v>
      </c>
      <c r="O65" s="23"/>
      <c r="P65" s="23"/>
      <c r="Q65" s="23"/>
      <c r="R65" s="23"/>
      <c r="S65" s="23"/>
      <c r="T65" s="23"/>
      <c r="U65" s="23"/>
      <c r="V65" s="23"/>
      <c r="AC65" s="7"/>
    </row>
    <row r="66" spans="1:29" x14ac:dyDescent="0.25">
      <c r="A66" s="7"/>
      <c r="B66" s="4">
        <v>2.2500000000000003E-2</v>
      </c>
      <c r="C66" s="1" t="s">
        <v>20</v>
      </c>
      <c r="D66" s="4">
        <v>0</v>
      </c>
      <c r="E66" s="4">
        <v>0</v>
      </c>
      <c r="F66" s="4">
        <v>0</v>
      </c>
      <c r="G66" s="4">
        <v>0</v>
      </c>
      <c r="H66" s="4">
        <v>0</v>
      </c>
      <c r="I66" s="4">
        <v>0</v>
      </c>
      <c r="J66" s="4">
        <v>0</v>
      </c>
      <c r="K66" s="4">
        <v>0</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0</v>
      </c>
      <c r="E68" s="4">
        <v>0</v>
      </c>
      <c r="F68" s="4">
        <v>0</v>
      </c>
      <c r="G68" s="4">
        <v>0</v>
      </c>
      <c r="H68" s="4">
        <v>0</v>
      </c>
      <c r="I68" s="4">
        <v>0</v>
      </c>
      <c r="J68" s="4">
        <v>0</v>
      </c>
      <c r="K68" s="4">
        <v>0</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0.03</v>
      </c>
      <c r="C70" s="1" t="s">
        <v>13</v>
      </c>
      <c r="D70" s="4">
        <v>0</v>
      </c>
      <c r="E70" s="4">
        <v>0</v>
      </c>
      <c r="F70" s="4">
        <v>0</v>
      </c>
      <c r="G70" s="4">
        <v>0</v>
      </c>
      <c r="H70" s="4">
        <v>0</v>
      </c>
      <c r="I70" s="4">
        <v>0</v>
      </c>
      <c r="J70" s="4">
        <v>0</v>
      </c>
      <c r="K70" s="4">
        <v>0</v>
      </c>
      <c r="AC70" s="7"/>
    </row>
    <row r="71" spans="1:29" x14ac:dyDescent="0.25">
      <c r="A71" s="7"/>
      <c r="B71" s="4">
        <v>0.17</v>
      </c>
      <c r="C71" s="1" t="s">
        <v>14</v>
      </c>
      <c r="D71" s="4">
        <v>0</v>
      </c>
      <c r="E71" s="4">
        <v>0</v>
      </c>
      <c r="F71" s="4">
        <v>0</v>
      </c>
      <c r="G71" s="4">
        <v>0</v>
      </c>
      <c r="H71" s="4">
        <v>0</v>
      </c>
      <c r="I71" s="4">
        <v>0</v>
      </c>
      <c r="J71" s="4">
        <v>0</v>
      </c>
      <c r="K71" s="4">
        <v>0</v>
      </c>
      <c r="AC71" s="7"/>
    </row>
    <row r="72" spans="1:29" x14ac:dyDescent="0.25">
      <c r="A72" s="7"/>
      <c r="B72" s="4">
        <v>7.4999999999999997E-3</v>
      </c>
      <c r="C72" s="1" t="s">
        <v>15</v>
      </c>
      <c r="D72" s="4">
        <v>0</v>
      </c>
      <c r="E72" s="4">
        <v>0</v>
      </c>
      <c r="F72" s="4">
        <v>0</v>
      </c>
      <c r="G72" s="4">
        <v>0</v>
      </c>
      <c r="H72" s="4">
        <v>0</v>
      </c>
      <c r="I72" s="4">
        <v>0</v>
      </c>
      <c r="J72" s="4">
        <v>0</v>
      </c>
      <c r="K72" s="4">
        <v>0</v>
      </c>
      <c r="AC72" s="7"/>
    </row>
    <row r="73" spans="1:29" x14ac:dyDescent="0.25">
      <c r="A73" s="7"/>
      <c r="B73" s="4">
        <v>4.2500000000000003E-2</v>
      </c>
      <c r="C73" s="1" t="s">
        <v>16</v>
      </c>
      <c r="D73" s="4">
        <v>0</v>
      </c>
      <c r="E73" s="4">
        <v>0</v>
      </c>
      <c r="F73" s="4">
        <v>0</v>
      </c>
      <c r="G73" s="4">
        <v>0</v>
      </c>
      <c r="H73" s="4">
        <v>0</v>
      </c>
      <c r="I73" s="4">
        <v>0</v>
      </c>
      <c r="J73" s="4">
        <v>0</v>
      </c>
      <c r="K73" s="4">
        <v>0</v>
      </c>
      <c r="AC73" s="7"/>
    </row>
    <row r="74" spans="1:29" x14ac:dyDescent="0.25">
      <c r="A74" s="7"/>
      <c r="B74" s="4">
        <v>9.0000000000000011E-2</v>
      </c>
      <c r="C74" s="1" t="s">
        <v>17</v>
      </c>
      <c r="D74" s="4">
        <v>0</v>
      </c>
      <c r="E74" s="4">
        <v>0</v>
      </c>
      <c r="F74" s="4">
        <v>0</v>
      </c>
      <c r="G74" s="4">
        <v>0</v>
      </c>
      <c r="H74" s="4">
        <v>0</v>
      </c>
      <c r="I74" s="4">
        <v>0</v>
      </c>
      <c r="J74" s="4">
        <v>0</v>
      </c>
      <c r="K74" s="4">
        <v>0</v>
      </c>
      <c r="AC74" s="7"/>
    </row>
    <row r="75" spans="1:29" x14ac:dyDescent="0.25">
      <c r="A75" s="7"/>
      <c r="B75" s="4">
        <v>0.51</v>
      </c>
      <c r="C75" s="1" t="s">
        <v>18</v>
      </c>
      <c r="D75" s="4">
        <v>0</v>
      </c>
      <c r="E75" s="4">
        <v>0</v>
      </c>
      <c r="F75" s="4">
        <v>0</v>
      </c>
      <c r="G75" s="4">
        <v>0</v>
      </c>
      <c r="H75" s="4">
        <v>0</v>
      </c>
      <c r="I75" s="4">
        <v>0</v>
      </c>
      <c r="J75" s="4">
        <v>0</v>
      </c>
      <c r="K75" s="4">
        <v>0</v>
      </c>
      <c r="AC75" s="7"/>
    </row>
    <row r="76" spans="1:29" x14ac:dyDescent="0.25">
      <c r="A76" s="7"/>
      <c r="B76" s="4">
        <v>2.2500000000000003E-2</v>
      </c>
      <c r="C76" s="1" t="s">
        <v>19</v>
      </c>
      <c r="D76" s="4">
        <v>0</v>
      </c>
      <c r="E76" s="4">
        <v>0</v>
      </c>
      <c r="F76" s="4">
        <v>0</v>
      </c>
      <c r="G76" s="4">
        <v>0</v>
      </c>
      <c r="H76" s="4">
        <v>0</v>
      </c>
      <c r="I76" s="4">
        <v>0</v>
      </c>
      <c r="J76" s="4">
        <v>0</v>
      </c>
      <c r="K76" s="4">
        <v>0</v>
      </c>
      <c r="AC76" s="7"/>
    </row>
    <row r="77" spans="1:29" x14ac:dyDescent="0.25">
      <c r="A77" s="7"/>
      <c r="B77" s="4">
        <v>0.1275</v>
      </c>
      <c r="C77" s="1" t="s">
        <v>20</v>
      </c>
      <c r="D77" s="4">
        <v>0</v>
      </c>
      <c r="E77" s="4">
        <v>0</v>
      </c>
      <c r="F77" s="4">
        <v>0</v>
      </c>
      <c r="G77" s="4">
        <v>0</v>
      </c>
      <c r="H77" s="4">
        <v>0</v>
      </c>
      <c r="I77" s="4">
        <v>0</v>
      </c>
      <c r="J77" s="4">
        <v>0</v>
      </c>
      <c r="K77" s="4">
        <v>0</v>
      </c>
      <c r="AC77" s="7"/>
    </row>
    <row r="78" spans="1:29" x14ac:dyDescent="0.25">
      <c r="A78" s="7"/>
      <c r="AC78" s="7"/>
    </row>
    <row r="79" spans="1:29" x14ac:dyDescent="0.25">
      <c r="A79" s="7"/>
      <c r="C79" s="1" t="s">
        <v>31</v>
      </c>
      <c r="D79" s="4">
        <v>0</v>
      </c>
      <c r="E79" s="4">
        <v>0</v>
      </c>
      <c r="F79" s="4">
        <v>0</v>
      </c>
      <c r="G79" s="4">
        <v>0</v>
      </c>
      <c r="H79" s="4">
        <v>0</v>
      </c>
      <c r="I79" s="4">
        <v>0</v>
      </c>
      <c r="J79" s="4">
        <v>0</v>
      </c>
      <c r="K79" s="4">
        <v>0</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4.2500000000000003E-2</v>
      </c>
      <c r="C81" s="1" t="s">
        <v>13</v>
      </c>
      <c r="D81" s="4">
        <v>0</v>
      </c>
      <c r="E81" s="4">
        <v>0</v>
      </c>
      <c r="F81" s="4">
        <v>0</v>
      </c>
      <c r="G81" s="4">
        <v>0</v>
      </c>
      <c r="H81" s="4">
        <v>0</v>
      </c>
      <c r="I81" s="4">
        <v>0</v>
      </c>
      <c r="J81" s="4">
        <v>0</v>
      </c>
      <c r="K81" s="4">
        <v>0</v>
      </c>
      <c r="AC81" s="7"/>
    </row>
    <row r="82" spans="1:29" x14ac:dyDescent="0.25">
      <c r="A82" s="7"/>
      <c r="B82" s="4">
        <v>7.4999999999999997E-3</v>
      </c>
      <c r="C82" s="1" t="s">
        <v>14</v>
      </c>
      <c r="D82" s="4">
        <v>0</v>
      </c>
      <c r="E82" s="4">
        <v>0</v>
      </c>
      <c r="F82" s="4">
        <v>0</v>
      </c>
      <c r="G82" s="4">
        <v>0</v>
      </c>
      <c r="H82" s="4">
        <v>0</v>
      </c>
      <c r="I82" s="4">
        <v>0</v>
      </c>
      <c r="J82" s="4">
        <v>0</v>
      </c>
      <c r="K82" s="4">
        <v>0</v>
      </c>
      <c r="AC82" s="7"/>
    </row>
    <row r="83" spans="1:29" x14ac:dyDescent="0.25">
      <c r="A83" s="7"/>
      <c r="B83" s="4">
        <v>0.17</v>
      </c>
      <c r="C83" s="1" t="s">
        <v>15</v>
      </c>
      <c r="D83" s="4">
        <v>0</v>
      </c>
      <c r="E83" s="4">
        <v>0</v>
      </c>
      <c r="F83" s="4">
        <v>0</v>
      </c>
      <c r="G83" s="4">
        <v>0</v>
      </c>
      <c r="H83" s="4">
        <v>0</v>
      </c>
      <c r="I83" s="4">
        <v>0</v>
      </c>
      <c r="J83" s="4">
        <v>0</v>
      </c>
      <c r="K83" s="4">
        <v>0</v>
      </c>
      <c r="AC83" s="7"/>
    </row>
    <row r="84" spans="1:29" x14ac:dyDescent="0.25">
      <c r="A84" s="7"/>
      <c r="B84" s="4">
        <v>0.03</v>
      </c>
      <c r="C84" s="1" t="s">
        <v>16</v>
      </c>
      <c r="D84" s="4">
        <v>0</v>
      </c>
      <c r="E84" s="4">
        <v>0</v>
      </c>
      <c r="F84" s="4">
        <v>0</v>
      </c>
      <c r="G84" s="4">
        <v>0</v>
      </c>
      <c r="H84" s="4">
        <v>0</v>
      </c>
      <c r="I84" s="4">
        <v>0</v>
      </c>
      <c r="J84" s="4">
        <v>0</v>
      </c>
      <c r="K84" s="4">
        <v>0</v>
      </c>
      <c r="AC84" s="7"/>
    </row>
    <row r="85" spans="1:29" x14ac:dyDescent="0.25">
      <c r="A85" s="7"/>
      <c r="B85" s="4">
        <v>0.1275</v>
      </c>
      <c r="C85" s="1" t="s">
        <v>17</v>
      </c>
      <c r="D85" s="4">
        <v>0</v>
      </c>
      <c r="E85" s="4">
        <v>0</v>
      </c>
      <c r="F85" s="4">
        <v>0</v>
      </c>
      <c r="G85" s="4">
        <v>0</v>
      </c>
      <c r="H85" s="4">
        <v>0</v>
      </c>
      <c r="I85" s="4">
        <v>0</v>
      </c>
      <c r="J85" s="4">
        <v>0</v>
      </c>
      <c r="K85" s="4">
        <v>0</v>
      </c>
      <c r="AC85" s="7"/>
    </row>
    <row r="86" spans="1:29" x14ac:dyDescent="0.25">
      <c r="A86" s="7"/>
      <c r="B86" s="4">
        <v>2.2500000000000003E-2</v>
      </c>
      <c r="C86" s="1" t="s">
        <v>18</v>
      </c>
      <c r="D86" s="4">
        <v>0</v>
      </c>
      <c r="E86" s="4">
        <v>0</v>
      </c>
      <c r="F86" s="4">
        <v>0</v>
      </c>
      <c r="G86" s="4">
        <v>0</v>
      </c>
      <c r="H86" s="4">
        <v>0</v>
      </c>
      <c r="I86" s="4">
        <v>0</v>
      </c>
      <c r="J86" s="4">
        <v>0</v>
      </c>
      <c r="K86" s="4">
        <v>0</v>
      </c>
      <c r="AC86" s="7"/>
    </row>
    <row r="87" spans="1:29" x14ac:dyDescent="0.25">
      <c r="A87" s="7"/>
      <c r="B87" s="4">
        <v>0.51</v>
      </c>
      <c r="C87" s="1" t="s">
        <v>19</v>
      </c>
      <c r="D87" s="4">
        <v>0</v>
      </c>
      <c r="E87" s="4">
        <v>0</v>
      </c>
      <c r="F87" s="4">
        <v>0</v>
      </c>
      <c r="G87" s="4">
        <v>0</v>
      </c>
      <c r="H87" s="4">
        <v>0</v>
      </c>
      <c r="I87" s="4">
        <v>0</v>
      </c>
      <c r="J87" s="4">
        <v>0</v>
      </c>
      <c r="K87" s="4">
        <v>0</v>
      </c>
      <c r="AC87" s="7"/>
    </row>
    <row r="88" spans="1:29" x14ac:dyDescent="0.25">
      <c r="A88" s="7"/>
      <c r="B88" s="4">
        <v>9.0000000000000011E-2</v>
      </c>
      <c r="C88" s="1" t="s">
        <v>20</v>
      </c>
      <c r="D88" s="4">
        <v>0</v>
      </c>
      <c r="E88" s="4">
        <v>0</v>
      </c>
      <c r="F88" s="4">
        <v>0</v>
      </c>
      <c r="G88" s="4">
        <v>0</v>
      </c>
      <c r="H88" s="4">
        <v>0</v>
      </c>
      <c r="I88" s="4">
        <v>0</v>
      </c>
      <c r="J88" s="4">
        <v>0</v>
      </c>
      <c r="K88" s="4">
        <v>0</v>
      </c>
      <c r="AC88" s="7"/>
    </row>
    <row r="89" spans="1:29" x14ac:dyDescent="0.25">
      <c r="A89" s="7"/>
      <c r="AC89" s="7"/>
    </row>
    <row r="90" spans="1:29" x14ac:dyDescent="0.25">
      <c r="A90" s="7"/>
      <c r="C90" s="1" t="s">
        <v>32</v>
      </c>
      <c r="D90" s="4">
        <v>5.0025000000000009E-3</v>
      </c>
      <c r="E90" s="4">
        <v>2.8347500000000005E-2</v>
      </c>
      <c r="F90" s="4">
        <v>2.0010000000000003E-2</v>
      </c>
      <c r="G90" s="4">
        <v>0.11339000000000002</v>
      </c>
      <c r="H90" s="4">
        <v>1.5007500000000003E-2</v>
      </c>
      <c r="I90" s="4">
        <v>8.5042500000000021E-2</v>
      </c>
      <c r="J90" s="4">
        <v>6.0030000000000014E-2</v>
      </c>
      <c r="K90" s="4">
        <v>0.34017000000000008</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7.4999999999999997E-3</v>
      </c>
      <c r="C92" s="1" t="s">
        <v>13</v>
      </c>
      <c r="D92" s="4">
        <v>3.7518750000000007E-5</v>
      </c>
      <c r="E92" s="4">
        <v>2.1260625000000003E-4</v>
      </c>
      <c r="F92" s="4">
        <v>1.5007500000000003E-4</v>
      </c>
      <c r="G92" s="4">
        <v>8.5042500000000014E-4</v>
      </c>
      <c r="H92" s="4">
        <v>1.1255625000000002E-4</v>
      </c>
      <c r="I92" s="4">
        <v>6.378187500000001E-4</v>
      </c>
      <c r="J92" s="4">
        <v>4.5022500000000006E-4</v>
      </c>
      <c r="K92" s="4">
        <v>2.5512750000000004E-3</v>
      </c>
      <c r="AC92" s="7"/>
    </row>
    <row r="93" spans="1:29" x14ac:dyDescent="0.25">
      <c r="A93" s="7"/>
      <c r="B93" s="4">
        <v>4.2500000000000003E-2</v>
      </c>
      <c r="C93" s="1" t="s">
        <v>14</v>
      </c>
      <c r="D93" s="4">
        <v>2.1260625000000006E-4</v>
      </c>
      <c r="E93" s="4">
        <v>1.2047687500000002E-3</v>
      </c>
      <c r="F93" s="4">
        <v>8.5042500000000025E-4</v>
      </c>
      <c r="G93" s="4">
        <v>4.8190750000000008E-3</v>
      </c>
      <c r="H93" s="4">
        <v>6.3781875000000021E-4</v>
      </c>
      <c r="I93" s="4">
        <v>3.614306250000001E-3</v>
      </c>
      <c r="J93" s="4">
        <v>2.5512750000000009E-3</v>
      </c>
      <c r="K93" s="4">
        <v>1.4457225000000004E-2</v>
      </c>
      <c r="AC93" s="7"/>
    </row>
    <row r="94" spans="1:29" x14ac:dyDescent="0.25">
      <c r="A94" s="7"/>
      <c r="B94" s="4">
        <v>0.03</v>
      </c>
      <c r="C94" s="1" t="s">
        <v>15</v>
      </c>
      <c r="D94" s="4">
        <v>1.5007500000000003E-4</v>
      </c>
      <c r="E94" s="4">
        <v>8.5042500000000014E-4</v>
      </c>
      <c r="F94" s="4">
        <v>6.0030000000000012E-4</v>
      </c>
      <c r="G94" s="4">
        <v>3.4017000000000006E-3</v>
      </c>
      <c r="H94" s="4">
        <v>4.5022500000000006E-4</v>
      </c>
      <c r="I94" s="4">
        <v>2.5512750000000004E-3</v>
      </c>
      <c r="J94" s="4">
        <v>1.8009000000000002E-3</v>
      </c>
      <c r="K94" s="4">
        <v>1.0205100000000002E-2</v>
      </c>
      <c r="AC94" s="7"/>
    </row>
    <row r="95" spans="1:29" x14ac:dyDescent="0.25">
      <c r="A95" s="7"/>
      <c r="B95" s="4">
        <v>0.17</v>
      </c>
      <c r="C95" s="1" t="s">
        <v>16</v>
      </c>
      <c r="D95" s="4">
        <v>8.5042500000000025E-4</v>
      </c>
      <c r="E95" s="4">
        <v>4.8190750000000008E-3</v>
      </c>
      <c r="F95" s="4">
        <v>3.401700000000001E-3</v>
      </c>
      <c r="G95" s="4">
        <v>1.9276300000000003E-2</v>
      </c>
      <c r="H95" s="4">
        <v>2.5512750000000009E-3</v>
      </c>
      <c r="I95" s="4">
        <v>1.4457225000000004E-2</v>
      </c>
      <c r="J95" s="4">
        <v>1.0205100000000003E-2</v>
      </c>
      <c r="K95" s="4">
        <v>5.7828900000000016E-2</v>
      </c>
      <c r="AC95" s="7"/>
    </row>
    <row r="96" spans="1:29" x14ac:dyDescent="0.25">
      <c r="A96" s="7"/>
      <c r="B96" s="4">
        <v>2.2500000000000003E-2</v>
      </c>
      <c r="C96" s="1" t="s">
        <v>17</v>
      </c>
      <c r="D96" s="4">
        <v>1.1255625000000003E-4</v>
      </c>
      <c r="E96" s="4">
        <v>6.3781875000000021E-4</v>
      </c>
      <c r="F96" s="4">
        <v>4.5022500000000012E-4</v>
      </c>
      <c r="G96" s="4">
        <v>2.5512750000000009E-3</v>
      </c>
      <c r="H96" s="4">
        <v>3.376687500000001E-4</v>
      </c>
      <c r="I96" s="4">
        <v>1.9134562500000007E-3</v>
      </c>
      <c r="J96" s="4">
        <v>1.3506750000000004E-3</v>
      </c>
      <c r="K96" s="4">
        <v>7.653825000000003E-3</v>
      </c>
      <c r="AC96" s="7"/>
    </row>
    <row r="97" spans="1:29" x14ac:dyDescent="0.25">
      <c r="A97" s="7"/>
      <c r="B97" s="4">
        <v>0.1275</v>
      </c>
      <c r="C97" s="1" t="s">
        <v>18</v>
      </c>
      <c r="D97" s="4">
        <v>6.378187500000001E-4</v>
      </c>
      <c r="E97" s="4">
        <v>3.6143062500000006E-3</v>
      </c>
      <c r="F97" s="4">
        <v>2.5512750000000004E-3</v>
      </c>
      <c r="G97" s="4">
        <v>1.4457225000000002E-2</v>
      </c>
      <c r="H97" s="4">
        <v>1.9134562500000005E-3</v>
      </c>
      <c r="I97" s="4">
        <v>1.0842918750000003E-2</v>
      </c>
      <c r="J97" s="4">
        <v>7.6538250000000021E-3</v>
      </c>
      <c r="K97" s="4">
        <v>4.3371675000000012E-2</v>
      </c>
      <c r="AC97" s="7"/>
    </row>
    <row r="98" spans="1:29" x14ac:dyDescent="0.25">
      <c r="A98" s="7"/>
      <c r="B98" s="4">
        <v>9.0000000000000011E-2</v>
      </c>
      <c r="C98" s="1" t="s">
        <v>19</v>
      </c>
      <c r="D98" s="4">
        <v>4.5022500000000012E-4</v>
      </c>
      <c r="E98" s="4">
        <v>2.5512750000000009E-3</v>
      </c>
      <c r="F98" s="4">
        <v>1.8009000000000005E-3</v>
      </c>
      <c r="G98" s="4">
        <v>1.0205100000000003E-2</v>
      </c>
      <c r="H98" s="4">
        <v>1.3506750000000004E-3</v>
      </c>
      <c r="I98" s="4">
        <v>7.653825000000003E-3</v>
      </c>
      <c r="J98" s="4">
        <v>5.4027000000000016E-3</v>
      </c>
      <c r="K98" s="4">
        <v>3.0615300000000012E-2</v>
      </c>
      <c r="AC98" s="7"/>
    </row>
    <row r="99" spans="1:29" x14ac:dyDescent="0.25">
      <c r="A99" s="7"/>
      <c r="B99" s="4">
        <v>0.51</v>
      </c>
      <c r="C99" s="1" t="s">
        <v>20</v>
      </c>
      <c r="D99" s="4">
        <v>2.5512750000000004E-3</v>
      </c>
      <c r="E99" s="4">
        <v>1.4457225000000002E-2</v>
      </c>
      <c r="F99" s="4">
        <v>1.0205100000000002E-2</v>
      </c>
      <c r="G99" s="4">
        <v>5.7828900000000009E-2</v>
      </c>
      <c r="H99" s="4">
        <v>7.6538250000000021E-3</v>
      </c>
      <c r="I99" s="4">
        <v>4.3371675000000012E-2</v>
      </c>
      <c r="J99" s="4">
        <v>3.0615300000000008E-2</v>
      </c>
      <c r="K99" s="4">
        <v>0.17348670000000005</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8.6650818750000025E-2</v>
      </c>
      <c r="E103" s="4">
        <v>1.5497306250000002E-2</v>
      </c>
      <c r="F103" s="4">
        <v>2.1803400000000004E-2</v>
      </c>
      <c r="G103" s="4">
        <v>4.6716000000000006E-3</v>
      </c>
      <c r="H103" s="4">
        <v>2.898365625E-2</v>
      </c>
      <c r="I103" s="4">
        <v>5.7327187500000008E-3</v>
      </c>
      <c r="J103" s="4">
        <v>7.6680000000000003E-3</v>
      </c>
      <c r="K103" s="4">
        <v>3.8250000000000003E-3</v>
      </c>
      <c r="L103" s="7">
        <v>0.17483250000000003</v>
      </c>
      <c r="AC103" s="7"/>
    </row>
    <row r="104" spans="1:29" x14ac:dyDescent="0.25">
      <c r="A104" s="7"/>
      <c r="C104" s="1" t="s">
        <v>14</v>
      </c>
      <c r="D104" s="4">
        <v>1.5497306250000006E-2</v>
      </c>
      <c r="E104" s="4">
        <v>3.9020687500000008E-3</v>
      </c>
      <c r="F104" s="4">
        <v>4.6716000000000014E-3</v>
      </c>
      <c r="G104" s="4">
        <v>5.4934000000000007E-3</v>
      </c>
      <c r="H104" s="4">
        <v>5.7327187500000008E-3</v>
      </c>
      <c r="I104" s="4">
        <v>4.5134062500000009E-3</v>
      </c>
      <c r="J104" s="4">
        <v>3.8250000000000011E-3</v>
      </c>
      <c r="K104" s="4">
        <v>1.4682000000000004E-2</v>
      </c>
      <c r="L104" s="7">
        <v>5.8317500000000022E-2</v>
      </c>
      <c r="T104" s="6"/>
      <c r="AC104" s="7"/>
    </row>
    <row r="105" spans="1:29" x14ac:dyDescent="0.25">
      <c r="A105" s="7"/>
      <c r="C105" s="1" t="s">
        <v>15</v>
      </c>
      <c r="D105" s="4">
        <v>2.1803400000000004E-2</v>
      </c>
      <c r="E105" s="4">
        <v>4.6716000000000006E-3</v>
      </c>
      <c r="F105" s="4">
        <v>6.0136312500000009E-3</v>
      </c>
      <c r="G105" s="4">
        <v>4.3569937500000004E-3</v>
      </c>
      <c r="H105" s="4">
        <v>7.6680000000000003E-3</v>
      </c>
      <c r="I105" s="4">
        <v>3.8250000000000003E-3</v>
      </c>
      <c r="J105" s="4">
        <v>3.60534375E-3</v>
      </c>
      <c r="K105" s="4">
        <v>1.0523531250000003E-2</v>
      </c>
      <c r="L105" s="7">
        <v>6.2467500000000016E-2</v>
      </c>
      <c r="AC105" s="7"/>
    </row>
    <row r="106" spans="1:29" x14ac:dyDescent="0.25">
      <c r="A106" s="7"/>
      <c r="C106" s="1" t="s">
        <v>16</v>
      </c>
      <c r="D106" s="4">
        <v>4.6716000000000014E-3</v>
      </c>
      <c r="E106" s="4">
        <v>5.4934000000000007E-3</v>
      </c>
      <c r="F106" s="4">
        <v>4.3569937500000013E-3</v>
      </c>
      <c r="G106" s="4">
        <v>1.9444881250000004E-2</v>
      </c>
      <c r="H106" s="4">
        <v>3.8250000000000011E-3</v>
      </c>
      <c r="I106" s="4">
        <v>1.4682000000000004E-2</v>
      </c>
      <c r="J106" s="4">
        <v>1.0523531250000004E-2</v>
      </c>
      <c r="K106" s="4">
        <v>5.7885093750000019E-2</v>
      </c>
      <c r="L106" s="7">
        <v>0.12088250000000005</v>
      </c>
      <c r="AC106" s="7"/>
    </row>
    <row r="107" spans="1:29" x14ac:dyDescent="0.25">
      <c r="A107" s="7"/>
      <c r="C107" s="1" t="s">
        <v>17</v>
      </c>
      <c r="D107" s="4">
        <v>2.8983656250000007E-2</v>
      </c>
      <c r="E107" s="4">
        <v>5.7327187500000017E-3</v>
      </c>
      <c r="F107" s="4">
        <v>7.6680000000000021E-3</v>
      </c>
      <c r="G107" s="4">
        <v>3.8250000000000011E-3</v>
      </c>
      <c r="H107" s="4">
        <v>9.9613687500000013E-3</v>
      </c>
      <c r="I107" s="4">
        <v>3.611756250000001E-3</v>
      </c>
      <c r="J107" s="4">
        <v>3.7566000000000006E-3</v>
      </c>
      <c r="K107" s="4">
        <v>8.0784000000000029E-3</v>
      </c>
      <c r="L107" s="7">
        <v>7.1617500000000014E-2</v>
      </c>
      <c r="AC107" s="7"/>
    </row>
    <row r="108" spans="1:29" x14ac:dyDescent="0.25">
      <c r="A108" s="7"/>
      <c r="C108" s="1" t="s">
        <v>18</v>
      </c>
      <c r="D108" s="4">
        <v>5.7327187500000008E-3</v>
      </c>
      <c r="E108" s="4">
        <v>4.5134062500000009E-3</v>
      </c>
      <c r="F108" s="4">
        <v>3.8250000000000007E-3</v>
      </c>
      <c r="G108" s="4">
        <v>1.4682000000000002E-2</v>
      </c>
      <c r="H108" s="4">
        <v>3.6117562500000006E-3</v>
      </c>
      <c r="I108" s="4">
        <v>1.1142618750000003E-2</v>
      </c>
      <c r="J108" s="4">
        <v>8.0784000000000029E-3</v>
      </c>
      <c r="K108" s="4">
        <v>4.3446600000000016E-2</v>
      </c>
      <c r="L108" s="7">
        <v>9.503250000000002E-2</v>
      </c>
      <c r="AC108" s="7"/>
    </row>
    <row r="109" spans="1:29" x14ac:dyDescent="0.25">
      <c r="A109" s="7"/>
      <c r="C109" s="1" t="s">
        <v>19</v>
      </c>
      <c r="D109" s="4">
        <v>7.6680000000000021E-3</v>
      </c>
      <c r="E109" s="4">
        <v>3.8250000000000011E-3</v>
      </c>
      <c r="F109" s="4">
        <v>3.6053437500000009E-3</v>
      </c>
      <c r="G109" s="4">
        <v>1.0523531250000004E-2</v>
      </c>
      <c r="H109" s="4">
        <v>3.7566000000000006E-3</v>
      </c>
      <c r="I109" s="4">
        <v>8.0784000000000029E-3</v>
      </c>
      <c r="J109" s="4">
        <v>6.0041812500000015E-3</v>
      </c>
      <c r="K109" s="4">
        <v>3.0721443750000011E-2</v>
      </c>
      <c r="L109" s="7">
        <v>7.4182500000000026E-2</v>
      </c>
      <c r="AC109" s="7"/>
    </row>
    <row r="110" spans="1:29" x14ac:dyDescent="0.25">
      <c r="A110" s="7"/>
      <c r="C110" s="1" t="s">
        <v>20</v>
      </c>
      <c r="D110" s="4">
        <v>3.8250000000000007E-3</v>
      </c>
      <c r="E110" s="4">
        <v>1.4682000000000002E-2</v>
      </c>
      <c r="F110" s="4">
        <v>1.0523531250000003E-2</v>
      </c>
      <c r="G110" s="4">
        <v>5.7885093750000012E-2</v>
      </c>
      <c r="H110" s="4">
        <v>8.0784000000000029E-3</v>
      </c>
      <c r="I110" s="4">
        <v>4.3446600000000016E-2</v>
      </c>
      <c r="J110" s="4">
        <v>3.0721443750000008E-2</v>
      </c>
      <c r="K110" s="4">
        <v>0.17350543125000004</v>
      </c>
      <c r="L110" s="7">
        <v>0.34266750000000012</v>
      </c>
      <c r="AC110" s="7"/>
    </row>
    <row r="111" spans="1:29" x14ac:dyDescent="0.25">
      <c r="A111" s="7"/>
      <c r="D111" s="3">
        <v>0.17483250000000006</v>
      </c>
      <c r="E111" s="3">
        <v>5.8317500000000015E-2</v>
      </c>
      <c r="F111" s="3">
        <v>6.2467500000000016E-2</v>
      </c>
      <c r="G111" s="3">
        <v>0.12088250000000003</v>
      </c>
      <c r="H111" s="3">
        <v>7.1617500000000001E-2</v>
      </c>
      <c r="I111" s="3">
        <v>9.503250000000002E-2</v>
      </c>
      <c r="J111" s="3">
        <v>7.4182500000000026E-2</v>
      </c>
      <c r="K111" s="3">
        <v>0.34266750000000012</v>
      </c>
      <c r="L111" s="7">
        <v>1.0000000000000002</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32" x14ac:dyDescent="0.25">
      <c r="A113" s="7"/>
      <c r="C113" s="1" t="s">
        <v>34</v>
      </c>
      <c r="N113" t="s">
        <v>36</v>
      </c>
      <c r="O113" s="8">
        <v>0.58350000000000013</v>
      </c>
      <c r="W113" t="s">
        <v>54</v>
      </c>
      <c r="Y113" t="s">
        <v>60</v>
      </c>
      <c r="AC113" s="7"/>
    </row>
    <row r="114" spans="1:32" x14ac:dyDescent="0.25">
      <c r="A114" s="7"/>
      <c r="C114" s="1"/>
      <c r="D114" s="1" t="s">
        <v>13</v>
      </c>
      <c r="E114" s="1" t="s">
        <v>14</v>
      </c>
      <c r="F114" s="1" t="s">
        <v>15</v>
      </c>
      <c r="G114" s="1" t="s">
        <v>16</v>
      </c>
      <c r="H114" s="1" t="s">
        <v>17</v>
      </c>
      <c r="I114" s="1" t="s">
        <v>18</v>
      </c>
      <c r="J114" s="1" t="s">
        <v>19</v>
      </c>
      <c r="K114" s="1" t="s">
        <v>20</v>
      </c>
      <c r="N114" t="s">
        <v>37</v>
      </c>
      <c r="O114" s="8">
        <v>0.60020000000000018</v>
      </c>
      <c r="R114" t="s">
        <v>58</v>
      </c>
      <c r="W114" s="1" t="s">
        <v>45</v>
      </c>
      <c r="X114" s="7" t="s">
        <v>47</v>
      </c>
      <c r="Y114" s="7" t="s">
        <v>48</v>
      </c>
      <c r="Z114" s="7" t="s">
        <v>49</v>
      </c>
      <c r="AA114" s="7" t="s">
        <v>50</v>
      </c>
      <c r="AB114" s="7"/>
      <c r="AC114" s="7"/>
    </row>
    <row r="115" spans="1:32" x14ac:dyDescent="0.25">
      <c r="A115" s="7"/>
      <c r="C115" s="1" t="s">
        <v>13</v>
      </c>
      <c r="D115" s="5">
        <v>17.330163750000004</v>
      </c>
      <c r="E115" s="5">
        <v>3.0994612500000005</v>
      </c>
      <c r="F115" s="5">
        <v>4.3606800000000012</v>
      </c>
      <c r="G115" s="5">
        <v>0.93432000000000015</v>
      </c>
      <c r="H115" s="5">
        <v>5.7967312499999997</v>
      </c>
      <c r="I115" s="5">
        <v>1.1465437500000002</v>
      </c>
      <c r="J115" s="5">
        <v>1.5336000000000001</v>
      </c>
      <c r="K115" s="5">
        <v>0.76500000000000001</v>
      </c>
      <c r="L115" s="13">
        <v>34.966500000000011</v>
      </c>
      <c r="N115" t="s">
        <v>38</v>
      </c>
      <c r="O115" s="8">
        <v>0.61690000000000023</v>
      </c>
      <c r="W115" s="1" t="s">
        <v>13</v>
      </c>
      <c r="X115" s="5">
        <v>34.966500000000011</v>
      </c>
      <c r="Y115" s="5">
        <v>17.330163750000004</v>
      </c>
      <c r="Z115" s="5">
        <v>17.636336250000006</v>
      </c>
      <c r="AA115" s="8">
        <v>6.2900791583152338E-3</v>
      </c>
      <c r="AB115" s="8">
        <v>0.10544020009054002</v>
      </c>
      <c r="AC115" s="7"/>
    </row>
    <row r="116" spans="1:32" x14ac:dyDescent="0.25">
      <c r="A116" s="7"/>
      <c r="C116" s="1" t="s">
        <v>14</v>
      </c>
      <c r="D116" s="5">
        <v>3.0994612500000009</v>
      </c>
      <c r="E116" s="5">
        <v>0.78041375000000013</v>
      </c>
      <c r="F116" s="5">
        <v>0.93432000000000026</v>
      </c>
      <c r="G116" s="5">
        <v>1.0986800000000001</v>
      </c>
      <c r="H116" s="5">
        <v>1.1465437500000002</v>
      </c>
      <c r="I116" s="5">
        <v>0.90268125000000021</v>
      </c>
      <c r="J116" s="5">
        <v>0.76500000000000024</v>
      </c>
      <c r="K116" s="5">
        <v>2.9364000000000008</v>
      </c>
      <c r="L116" s="13">
        <v>11.663500000000003</v>
      </c>
      <c r="M116" s="10" t="s">
        <v>39</v>
      </c>
      <c r="N116" s="10">
        <v>1</v>
      </c>
      <c r="O116" s="10">
        <v>2</v>
      </c>
      <c r="P116" s="10" t="s">
        <v>39</v>
      </c>
      <c r="Q116" s="10">
        <v>1</v>
      </c>
      <c r="R116" s="10">
        <v>2</v>
      </c>
      <c r="S116" s="10" t="s">
        <v>11</v>
      </c>
      <c r="T116" s="10" t="s">
        <v>42</v>
      </c>
      <c r="U116" s="10" t="s">
        <v>43</v>
      </c>
      <c r="V116" s="10"/>
      <c r="W116" s="1" t="s">
        <v>14</v>
      </c>
      <c r="X116" s="5">
        <v>11.663500000000003</v>
      </c>
      <c r="Y116" s="5">
        <v>0.78041375000000013</v>
      </c>
      <c r="Z116" s="5">
        <v>10.883086250000002</v>
      </c>
      <c r="AA116" s="8">
        <v>6.178533013938111E-2</v>
      </c>
      <c r="AB116" s="8">
        <v>0.76377106034044984</v>
      </c>
      <c r="AC116" s="7"/>
    </row>
    <row r="117" spans="1:32" x14ac:dyDescent="0.25">
      <c r="A117" s="7"/>
      <c r="C117" s="1" t="s">
        <v>15</v>
      </c>
      <c r="D117" s="5">
        <v>4.3606800000000012</v>
      </c>
      <c r="E117" s="5">
        <v>0.93432000000000015</v>
      </c>
      <c r="F117" s="5">
        <v>1.2027262500000002</v>
      </c>
      <c r="G117" s="5">
        <v>0.87139875000000011</v>
      </c>
      <c r="H117" s="5">
        <v>1.5336000000000001</v>
      </c>
      <c r="I117" s="5">
        <v>0.76500000000000001</v>
      </c>
      <c r="J117" s="5">
        <v>0.72106875000000004</v>
      </c>
      <c r="K117" s="5">
        <v>2.1047062500000004</v>
      </c>
      <c r="L117" s="13">
        <v>12.493500000000004</v>
      </c>
      <c r="M117" s="10">
        <v>1</v>
      </c>
      <c r="N117" s="5">
        <v>45.800000000000004</v>
      </c>
      <c r="O117" s="5">
        <v>37.500000000000014</v>
      </c>
      <c r="P117" s="10">
        <v>1</v>
      </c>
      <c r="Q117">
        <v>7.0742358078602949E-2</v>
      </c>
      <c r="R117">
        <v>6.6666666666670435E-3</v>
      </c>
      <c r="S117" s="12">
        <v>0.18306559040183462</v>
      </c>
      <c r="T117">
        <v>0.33124814972139099</v>
      </c>
      <c r="U117">
        <v>0.66875185027860895</v>
      </c>
      <c r="W117" s="1" t="s">
        <v>15</v>
      </c>
      <c r="X117" s="5">
        <v>12.493500000000004</v>
      </c>
      <c r="Y117" s="5">
        <v>1.2027262500000002</v>
      </c>
      <c r="Z117" s="5">
        <v>11.290773750000005</v>
      </c>
      <c r="AA117" s="8">
        <v>1.2027262500000002</v>
      </c>
      <c r="AB117" s="8">
        <v>0.25874704766704271</v>
      </c>
      <c r="AC117" s="7"/>
    </row>
    <row r="118" spans="1:32" x14ac:dyDescent="0.25">
      <c r="A118" s="7"/>
      <c r="C118" s="1" t="s">
        <v>16</v>
      </c>
      <c r="D118" s="5">
        <v>0.93432000000000026</v>
      </c>
      <c r="E118" s="5">
        <v>1.0986800000000001</v>
      </c>
      <c r="F118" s="5">
        <v>0.87139875000000022</v>
      </c>
      <c r="G118" s="5">
        <v>3.8889762500000007</v>
      </c>
      <c r="H118" s="5">
        <v>0.76500000000000024</v>
      </c>
      <c r="I118" s="5">
        <v>2.9364000000000008</v>
      </c>
      <c r="J118" s="5">
        <v>2.1047062500000009</v>
      </c>
      <c r="K118" s="5">
        <v>11.577018750000004</v>
      </c>
      <c r="L118" s="13">
        <v>24.176500000000008</v>
      </c>
      <c r="M118" s="10">
        <v>2</v>
      </c>
      <c r="N118" s="5">
        <v>37.500000000000007</v>
      </c>
      <c r="O118" s="5">
        <v>79.200000000000017</v>
      </c>
      <c r="P118" s="10">
        <v>2</v>
      </c>
      <c r="Q118">
        <v>6.6666666666668553E-3</v>
      </c>
      <c r="R118">
        <v>9.8989898989897768E-2</v>
      </c>
      <c r="W118" s="1" t="s">
        <v>16</v>
      </c>
      <c r="X118" s="5">
        <v>24.176500000000008</v>
      </c>
      <c r="Y118" s="5">
        <v>3.8889762500000007</v>
      </c>
      <c r="Z118" s="5">
        <v>20.287523750000005</v>
      </c>
      <c r="AA118" s="8">
        <v>0.20320997667806881</v>
      </c>
      <c r="AB118" s="8">
        <v>4.0749136184777398E-3</v>
      </c>
      <c r="AC118" s="7"/>
    </row>
    <row r="119" spans="1:32" x14ac:dyDescent="0.25">
      <c r="A119" s="7"/>
      <c r="C119" s="1" t="s">
        <v>17</v>
      </c>
      <c r="D119" s="5">
        <v>5.7967312500000014</v>
      </c>
      <c r="E119" s="5">
        <v>1.1465437500000004</v>
      </c>
      <c r="F119" s="5">
        <v>1.5336000000000005</v>
      </c>
      <c r="G119" s="5">
        <v>0.76500000000000024</v>
      </c>
      <c r="H119" s="5">
        <v>1.9922737500000003</v>
      </c>
      <c r="I119" s="5">
        <v>0.72235125000000022</v>
      </c>
      <c r="J119" s="5">
        <v>0.7513200000000001</v>
      </c>
      <c r="K119" s="5">
        <v>1.6156800000000007</v>
      </c>
      <c r="L119" s="13">
        <v>14.323500000000005</v>
      </c>
      <c r="M119" s="10" t="s">
        <v>40</v>
      </c>
      <c r="N119" s="10">
        <v>1</v>
      </c>
      <c r="O119" s="10">
        <v>2</v>
      </c>
      <c r="P119" s="10" t="s">
        <v>40</v>
      </c>
      <c r="Q119" s="10">
        <v>1</v>
      </c>
      <c r="R119" s="10">
        <v>2</v>
      </c>
      <c r="S119" s="10" t="s">
        <v>11</v>
      </c>
      <c r="T119" s="10" t="s">
        <v>42</v>
      </c>
      <c r="U119" s="10" t="s">
        <v>43</v>
      </c>
      <c r="W119" s="1" t="s">
        <v>17</v>
      </c>
      <c r="X119" s="5">
        <v>14.323500000000005</v>
      </c>
      <c r="Y119" s="5">
        <v>1.9922737500000003</v>
      </c>
      <c r="Z119" s="5">
        <v>12.331226250000004</v>
      </c>
      <c r="AA119" s="8">
        <v>2.996322120014659E-5</v>
      </c>
      <c r="AB119" s="8">
        <v>3.6270385411917752E-2</v>
      </c>
      <c r="AC119" s="7"/>
    </row>
    <row r="120" spans="1:32" x14ac:dyDescent="0.25">
      <c r="A120" s="7"/>
      <c r="C120" s="1" t="s">
        <v>18</v>
      </c>
      <c r="D120" s="5">
        <v>1.1465437500000002</v>
      </c>
      <c r="E120" s="5">
        <v>0.90268125000000021</v>
      </c>
      <c r="F120" s="5">
        <v>0.76500000000000012</v>
      </c>
      <c r="G120" s="5">
        <v>2.9364000000000003</v>
      </c>
      <c r="H120" s="5">
        <v>0.72235125000000011</v>
      </c>
      <c r="I120" s="5">
        <v>2.2285237500000008</v>
      </c>
      <c r="J120" s="5">
        <v>1.6156800000000007</v>
      </c>
      <c r="K120" s="5">
        <v>8.6893200000000039</v>
      </c>
      <c r="L120" s="13">
        <v>19.00650000000001</v>
      </c>
      <c r="M120" s="10">
        <v>1</v>
      </c>
      <c r="N120" s="5">
        <v>47.960000000000015</v>
      </c>
      <c r="O120" s="5">
        <v>32.000000000000007</v>
      </c>
      <c r="P120" s="10">
        <v>1</v>
      </c>
      <c r="Q120">
        <v>1.9216013344454309E-2</v>
      </c>
      <c r="R120">
        <v>1.5777218104420233E-30</v>
      </c>
      <c r="S120" s="12">
        <v>5.0484186901927755E-2</v>
      </c>
      <c r="T120">
        <v>0.17777711572903759</v>
      </c>
      <c r="U120">
        <v>0.82222288427096246</v>
      </c>
      <c r="W120" s="1" t="s">
        <v>18</v>
      </c>
      <c r="X120" s="5">
        <v>19.00650000000001</v>
      </c>
      <c r="Y120" s="5">
        <v>2.2285237500000008</v>
      </c>
      <c r="Z120" s="5">
        <v>16.777976250000009</v>
      </c>
      <c r="AA120" s="8">
        <v>2.3433945594729624E-2</v>
      </c>
      <c r="AB120" s="8">
        <v>2.9380507416118503E-3</v>
      </c>
      <c r="AC120" s="7"/>
    </row>
    <row r="121" spans="1:32" x14ac:dyDescent="0.25">
      <c r="A121" s="7"/>
      <c r="C121" s="1" t="s">
        <v>19</v>
      </c>
      <c r="D121" s="5">
        <v>1.5336000000000005</v>
      </c>
      <c r="E121" s="5">
        <v>0.76500000000000024</v>
      </c>
      <c r="F121" s="5">
        <v>0.72106875000000015</v>
      </c>
      <c r="G121" s="5">
        <v>2.1047062500000009</v>
      </c>
      <c r="H121" s="5">
        <v>0.7513200000000001</v>
      </c>
      <c r="I121" s="5">
        <v>1.6156800000000007</v>
      </c>
      <c r="J121" s="5">
        <v>1.2008362500000003</v>
      </c>
      <c r="K121" s="5">
        <v>6.1442887500000021</v>
      </c>
      <c r="L121" s="13">
        <v>14.836500000000004</v>
      </c>
      <c r="M121" s="10">
        <v>2</v>
      </c>
      <c r="N121" s="5">
        <v>32.000000000000007</v>
      </c>
      <c r="O121" s="5">
        <v>88.04000000000002</v>
      </c>
      <c r="P121" s="10">
        <v>2</v>
      </c>
      <c r="Q121">
        <v>3.1249999999999549E-2</v>
      </c>
      <c r="R121">
        <v>1.8173557473894101E-5</v>
      </c>
      <c r="W121" s="1" t="s">
        <v>19</v>
      </c>
      <c r="X121" s="5">
        <v>14.836500000000004</v>
      </c>
      <c r="Y121" s="5">
        <v>1.2008362500000003</v>
      </c>
      <c r="Z121" s="5">
        <v>13.635663750000004</v>
      </c>
      <c r="AA121" s="8">
        <v>0.53184828432191478</v>
      </c>
      <c r="AB121" s="8">
        <v>9.7348325316440314E-3</v>
      </c>
      <c r="AC121" s="7"/>
    </row>
    <row r="122" spans="1:32" x14ac:dyDescent="0.25">
      <c r="A122" s="7"/>
      <c r="C122" s="1" t="s">
        <v>20</v>
      </c>
      <c r="D122" s="5">
        <v>0.76500000000000012</v>
      </c>
      <c r="E122" s="5">
        <v>2.9364000000000003</v>
      </c>
      <c r="F122" s="5">
        <v>2.1047062500000004</v>
      </c>
      <c r="G122" s="5">
        <v>11.577018750000002</v>
      </c>
      <c r="H122" s="5">
        <v>1.6156800000000007</v>
      </c>
      <c r="I122" s="5">
        <v>8.6893200000000039</v>
      </c>
      <c r="J122" s="5">
        <v>6.1442887500000012</v>
      </c>
      <c r="K122" s="5">
        <v>34.70108625000001</v>
      </c>
      <c r="L122" s="13">
        <v>68.533500000000018</v>
      </c>
      <c r="M122" s="10" t="s">
        <v>41</v>
      </c>
      <c r="N122" s="10">
        <v>1</v>
      </c>
      <c r="O122" s="10">
        <v>2</v>
      </c>
      <c r="P122" s="10" t="s">
        <v>41</v>
      </c>
      <c r="Q122" s="10">
        <v>1</v>
      </c>
      <c r="R122" s="10">
        <v>2</v>
      </c>
      <c r="S122" s="10" t="s">
        <v>11</v>
      </c>
      <c r="T122" s="10" t="s">
        <v>42</v>
      </c>
      <c r="U122" s="10" t="s">
        <v>43</v>
      </c>
      <c r="W122" s="1" t="s">
        <v>20</v>
      </c>
      <c r="X122" s="5">
        <v>68.533500000000018</v>
      </c>
      <c r="Y122" s="5">
        <v>34.70108625000001</v>
      </c>
      <c r="Z122" s="5">
        <v>33.832413750000008</v>
      </c>
      <c r="AA122" s="8">
        <v>4.8620291531624192E-2</v>
      </c>
      <c r="AB122" s="8">
        <v>2.0480733544737856E-2</v>
      </c>
      <c r="AC122" s="7"/>
    </row>
    <row r="123" spans="1:32" x14ac:dyDescent="0.25">
      <c r="A123" s="7"/>
      <c r="D123" s="13">
        <v>34.966500000000011</v>
      </c>
      <c r="E123" s="13">
        <v>11.663500000000003</v>
      </c>
      <c r="F123" s="13">
        <v>12.493500000000004</v>
      </c>
      <c r="G123" s="13">
        <v>24.176500000000004</v>
      </c>
      <c r="H123" s="13">
        <v>14.323500000000003</v>
      </c>
      <c r="I123" s="13">
        <v>19.00650000000001</v>
      </c>
      <c r="J123" s="13">
        <v>14.836500000000003</v>
      </c>
      <c r="K123" s="13">
        <v>68.533500000000032</v>
      </c>
      <c r="L123" s="1">
        <v>200.00000000000006</v>
      </c>
      <c r="M123" s="10">
        <v>1</v>
      </c>
      <c r="N123" s="5">
        <v>51.120000000000012</v>
      </c>
      <c r="O123" s="5">
        <v>25.500000000000007</v>
      </c>
      <c r="P123" s="10">
        <v>1</v>
      </c>
      <c r="Q123">
        <v>0.1622535211267592</v>
      </c>
      <c r="R123">
        <v>9.8039215686271698E-3</v>
      </c>
      <c r="S123" s="12">
        <v>0.50359473926501641</v>
      </c>
      <c r="T123">
        <v>0.52207513091921742</v>
      </c>
      <c r="U123">
        <v>0.47792486908078258</v>
      </c>
      <c r="W123" s="1" t="s">
        <v>59</v>
      </c>
      <c r="X123" s="7">
        <v>200.00000000000006</v>
      </c>
      <c r="Y123" s="7">
        <v>63.325000000000017</v>
      </c>
      <c r="Z123" s="7">
        <v>136.67500000000004</v>
      </c>
      <c r="AA123" s="7">
        <v>2.0779441206452343</v>
      </c>
      <c r="AB123" s="7">
        <v>1.2014572239464216</v>
      </c>
      <c r="AC123" s="11">
        <v>3.2794013445916557</v>
      </c>
      <c r="AD123" s="6"/>
      <c r="AE123" s="6"/>
      <c r="AF123" s="6"/>
    </row>
    <row r="124" spans="1:32" x14ac:dyDescent="0.25">
      <c r="A124" s="7"/>
      <c r="M124" s="10">
        <v>2</v>
      </c>
      <c r="N124" s="5">
        <v>25.500000000000011</v>
      </c>
      <c r="O124" s="5">
        <v>97.880000000000024</v>
      </c>
      <c r="P124" s="10">
        <v>2</v>
      </c>
      <c r="Q124">
        <v>8.8235294117645774E-2</v>
      </c>
      <c r="R124">
        <v>0.24330200245198436</v>
      </c>
      <c r="AC124" s="7" t="s">
        <v>51</v>
      </c>
    </row>
    <row r="125" spans="1:32" x14ac:dyDescent="0.25">
      <c r="A125" s="7"/>
      <c r="C125" s="1" t="s">
        <v>35</v>
      </c>
      <c r="L125" s="7"/>
      <c r="M125" s="7"/>
      <c r="N125" s="7"/>
      <c r="O125" s="7"/>
      <c r="P125" s="7"/>
      <c r="Q125" s="7"/>
      <c r="R125" s="7"/>
      <c r="S125" s="7"/>
      <c r="T125" s="7"/>
      <c r="U125" s="7"/>
      <c r="V125" s="7"/>
      <c r="W125" s="7"/>
      <c r="X125" s="7"/>
      <c r="Y125" s="7"/>
      <c r="Z125" s="7"/>
      <c r="AA125" s="7"/>
      <c r="AB125" s="7"/>
      <c r="AC125" s="7"/>
    </row>
    <row r="126" spans="1:32" x14ac:dyDescent="0.25">
      <c r="A126" s="7"/>
      <c r="C126" s="1"/>
      <c r="D126" s="1" t="s">
        <v>13</v>
      </c>
      <c r="E126" s="1" t="s">
        <v>14</v>
      </c>
      <c r="F126" s="1" t="s">
        <v>15</v>
      </c>
      <c r="G126" s="1" t="s">
        <v>16</v>
      </c>
      <c r="H126" s="1" t="s">
        <v>17</v>
      </c>
      <c r="I126" s="1" t="s">
        <v>18</v>
      </c>
      <c r="J126" s="1" t="s">
        <v>19</v>
      </c>
      <c r="K126" s="1" t="s">
        <v>20</v>
      </c>
      <c r="AC126" s="7"/>
    </row>
    <row r="127" spans="1:32" x14ac:dyDescent="0.25">
      <c r="A127" s="7"/>
      <c r="C127" s="1" t="s">
        <v>13</v>
      </c>
      <c r="D127" s="8">
        <v>-0.32699854550546426</v>
      </c>
      <c r="E127" s="8">
        <v>-9.7848052191367246E-2</v>
      </c>
      <c r="F127" s="8">
        <v>-0.34533458953117391</v>
      </c>
      <c r="G127" s="8">
        <v>6.7936287011826954E-2</v>
      </c>
      <c r="H127" s="8">
        <v>0.20679172878857516</v>
      </c>
      <c r="I127" s="8">
        <v>-0.13675198220398591</v>
      </c>
      <c r="J127" s="8">
        <v>0.53105853562129501</v>
      </c>
      <c r="K127" s="8">
        <v>1.9220532514310931</v>
      </c>
      <c r="L127" s="14">
        <v>1.8209066334207988</v>
      </c>
      <c r="AC127" s="7"/>
    </row>
    <row r="128" spans="1:32" x14ac:dyDescent="0.25">
      <c r="A128" s="7"/>
      <c r="C128" s="1" t="s">
        <v>14</v>
      </c>
      <c r="D128" s="8">
        <v>-9.7848052191367579E-2</v>
      </c>
      <c r="E128" s="8">
        <v>0.24793105121873993</v>
      </c>
      <c r="F128" s="8">
        <v>6.7936287011826746E-2</v>
      </c>
      <c r="G128" s="8">
        <v>-9.410945922780603E-2</v>
      </c>
      <c r="H128" s="8">
        <v>-0.13675198220398591</v>
      </c>
      <c r="I128" s="8">
        <v>0.10238577791402079</v>
      </c>
      <c r="J128" s="8">
        <v>0</v>
      </c>
      <c r="K128" s="8">
        <v>-1.0771843412544895</v>
      </c>
      <c r="L128" s="14">
        <v>-0.98764071873306158</v>
      </c>
      <c r="AC128" s="7"/>
    </row>
    <row r="129" spans="1:29" x14ac:dyDescent="0.25">
      <c r="A129" s="7"/>
      <c r="C129" s="1" t="s">
        <v>15</v>
      </c>
      <c r="D129" s="8">
        <v>0.68404951965708194</v>
      </c>
      <c r="E129" s="8">
        <v>6.7936287011826954E-2</v>
      </c>
      <c r="F129" s="8">
        <v>0</v>
      </c>
      <c r="G129" s="8">
        <v>0.13765559977308539</v>
      </c>
      <c r="H129" s="8">
        <v>0.53105853562129501</v>
      </c>
      <c r="I129" s="8">
        <v>0.26787944515560125</v>
      </c>
      <c r="J129" s="8">
        <v>0.32702079256760996</v>
      </c>
      <c r="K129" s="8">
        <v>-0.10205745628597615</v>
      </c>
      <c r="L129" s="14">
        <v>1.9135427235005242</v>
      </c>
      <c r="AC129" s="7"/>
    </row>
    <row r="130" spans="1:29" x14ac:dyDescent="0.25">
      <c r="A130" s="7"/>
      <c r="C130" s="1" t="s">
        <v>16</v>
      </c>
      <c r="D130" s="8">
        <v>6.7936287011826746E-2</v>
      </c>
      <c r="E130" s="8">
        <v>-9.410945922780603E-2</v>
      </c>
      <c r="F130" s="8">
        <v>0.13765559977308539</v>
      </c>
      <c r="G130" s="8">
        <v>-0.77860097855544219</v>
      </c>
      <c r="H130" s="8">
        <v>0.26787944515560091</v>
      </c>
      <c r="I130" s="8">
        <v>6.4283842240860797E-2</v>
      </c>
      <c r="J130" s="8">
        <v>-0.10205745628597662</v>
      </c>
      <c r="K130" s="8">
        <v>-0.56239389815924867</v>
      </c>
      <c r="L130" s="14">
        <v>-0.99940661804709963</v>
      </c>
      <c r="AC130" s="7"/>
    </row>
    <row r="131" spans="1:29" x14ac:dyDescent="0.25">
      <c r="A131" s="7"/>
      <c r="C131" s="1" t="s">
        <v>17</v>
      </c>
      <c r="D131" s="8">
        <v>0.20679172878857255</v>
      </c>
      <c r="E131" s="8">
        <v>-0.13675198220398604</v>
      </c>
      <c r="F131" s="8">
        <v>0.53105853562129468</v>
      </c>
      <c r="G131" s="8">
        <v>0.26787944515560091</v>
      </c>
      <c r="H131" s="8">
        <v>7.7412122813048214E-3</v>
      </c>
      <c r="I131" s="8">
        <v>0</v>
      </c>
      <c r="J131" s="8">
        <v>0.28592361943691763</v>
      </c>
      <c r="K131" s="8">
        <v>0.42678251974306219</v>
      </c>
      <c r="L131" s="14">
        <v>1.5894250788227668</v>
      </c>
      <c r="AC131" s="7"/>
    </row>
    <row r="132" spans="1:29" x14ac:dyDescent="0.25">
      <c r="A132" s="7"/>
      <c r="C132" s="1" t="s">
        <v>18</v>
      </c>
      <c r="D132" s="8">
        <v>-0.13675198220398591</v>
      </c>
      <c r="E132" s="8">
        <v>0.10238577791402079</v>
      </c>
      <c r="F132" s="8">
        <v>0.26787944515560108</v>
      </c>
      <c r="G132" s="8">
        <v>6.4283842240860797E-2</v>
      </c>
      <c r="H132" s="8">
        <v>0.32524376254517195</v>
      </c>
      <c r="I132" s="8">
        <v>-0.21638438036120808</v>
      </c>
      <c r="J132" s="8">
        <v>0.42678251974306219</v>
      </c>
      <c r="K132" s="8">
        <v>-0.66122514938116528</v>
      </c>
      <c r="L132" s="14">
        <v>0.17221383565235759</v>
      </c>
      <c r="AC132" s="7"/>
    </row>
    <row r="133" spans="1:29" x14ac:dyDescent="0.25">
      <c r="A133" s="7"/>
      <c r="C133" s="1" t="s">
        <v>19</v>
      </c>
      <c r="D133" s="8">
        <v>0.53105853562129468</v>
      </c>
      <c r="E133" s="8">
        <v>0</v>
      </c>
      <c r="F133" s="8">
        <v>0.3270207925676098</v>
      </c>
      <c r="G133" s="8">
        <v>-0.10205745628597662</v>
      </c>
      <c r="H133" s="8">
        <v>0.28592361943691763</v>
      </c>
      <c r="I133" s="8">
        <v>0.42678251974306219</v>
      </c>
      <c r="J133" s="8">
        <v>1.0202579829412466</v>
      </c>
      <c r="K133" s="8">
        <v>-0.14258113549980717</v>
      </c>
      <c r="L133" s="14">
        <v>2.3464048585243469</v>
      </c>
      <c r="AC133" s="7"/>
    </row>
    <row r="134" spans="1:29" x14ac:dyDescent="0.25">
      <c r="A134" s="7"/>
      <c r="C134" s="1" t="s">
        <v>20</v>
      </c>
      <c r="D134" s="8">
        <v>0.26787944515560108</v>
      </c>
      <c r="E134" s="8">
        <v>-1.0771843412544893</v>
      </c>
      <c r="F134" s="8">
        <v>1.063309139895529</v>
      </c>
      <c r="G134" s="8">
        <v>-0.56239389815924745</v>
      </c>
      <c r="H134" s="8">
        <v>0.42678251974306219</v>
      </c>
      <c r="I134" s="8">
        <v>0.31616902785364009</v>
      </c>
      <c r="J134" s="8">
        <v>-0.14258113549980647</v>
      </c>
      <c r="K134" s="8">
        <v>1.3229261265123031</v>
      </c>
      <c r="L134" s="14">
        <v>1.6149068842465923</v>
      </c>
      <c r="AC134" s="7"/>
    </row>
    <row r="135" spans="1:29" x14ac:dyDescent="0.25">
      <c r="A135" s="7"/>
      <c r="D135" s="14">
        <v>1.1961169363335593</v>
      </c>
      <c r="E135" s="14">
        <v>-0.98764071873306092</v>
      </c>
      <c r="F135" s="14">
        <v>2.0495252104937727</v>
      </c>
      <c r="G135" s="14">
        <v>-0.99940661804709818</v>
      </c>
      <c r="H135" s="14">
        <v>1.9146688413679418</v>
      </c>
      <c r="I135" s="14">
        <v>0.82436425034199112</v>
      </c>
      <c r="J135" s="14">
        <v>2.3464048585243487</v>
      </c>
      <c r="K135" s="14">
        <v>1.1263199171057716</v>
      </c>
      <c r="L135" s="2">
        <v>14.940705354774451</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6.2900791583152338E-3</v>
      </c>
      <c r="E140" s="8">
        <v>3.1916967026326261E-3</v>
      </c>
      <c r="F140" s="8">
        <v>2.9832517497271258E-2</v>
      </c>
      <c r="G140" s="8">
        <v>4.6171144789793426E-3</v>
      </c>
      <c r="H140" s="8">
        <v>7.1278420448701394E-3</v>
      </c>
      <c r="I140" s="8">
        <v>1.8730267086679034E-2</v>
      </c>
      <c r="J140" s="8">
        <v>0.14184204486176313</v>
      </c>
      <c r="K140" s="8">
        <v>1.9937581699346401</v>
      </c>
      <c r="L140" s="15">
        <v>2.205389731765151</v>
      </c>
      <c r="AC140" s="7"/>
    </row>
    <row r="141" spans="1:29" x14ac:dyDescent="0.25">
      <c r="A141" s="7"/>
      <c r="C141" s="1" t="s">
        <v>14</v>
      </c>
      <c r="D141" s="8">
        <v>3.1916967026326543E-3</v>
      </c>
      <c r="E141" s="8">
        <v>6.178533013938111E-2</v>
      </c>
      <c r="F141" s="8">
        <v>4.6171144789793261E-3</v>
      </c>
      <c r="G141" s="8">
        <v>8.8631288455237375E-3</v>
      </c>
      <c r="H141" s="8">
        <v>1.8730267086679034E-2</v>
      </c>
      <c r="I141" s="8">
        <v>1.0492008227225786E-2</v>
      </c>
      <c r="J141" s="8">
        <v>0.76500000000000024</v>
      </c>
      <c r="K141" s="8">
        <v>1.276953058166463</v>
      </c>
      <c r="L141" s="15">
        <v>2.1496326036468849</v>
      </c>
      <c r="AC141" s="7"/>
    </row>
    <row r="142" spans="1:29" x14ac:dyDescent="0.25">
      <c r="A142" s="7"/>
      <c r="C142" s="1" t="s">
        <v>15</v>
      </c>
      <c r="D142" s="8">
        <v>9.3730808589485654E-2</v>
      </c>
      <c r="E142" s="8">
        <v>4.6171144789793426E-3</v>
      </c>
      <c r="F142" s="8">
        <v>1.2027262500000002</v>
      </c>
      <c r="G142" s="8">
        <v>1.8979005307917265E-2</v>
      </c>
      <c r="H142" s="8">
        <v>0.14184204486176313</v>
      </c>
      <c r="I142" s="8">
        <v>7.2189542483660121E-2</v>
      </c>
      <c r="J142" s="8">
        <v>0.10789906264355857</v>
      </c>
      <c r="K142" s="8">
        <v>5.2089923660665668E-3</v>
      </c>
      <c r="L142" s="15">
        <v>1.6471928207314308</v>
      </c>
      <c r="AC142" s="7"/>
    </row>
    <row r="143" spans="1:29" x14ac:dyDescent="0.25">
      <c r="A143" s="7"/>
      <c r="C143" s="1" t="s">
        <v>16</v>
      </c>
      <c r="D143" s="8">
        <v>4.6171144789793261E-3</v>
      </c>
      <c r="E143" s="8">
        <v>8.8631288455237375E-3</v>
      </c>
      <c r="F143" s="8">
        <v>1.897900530791723E-2</v>
      </c>
      <c r="G143" s="8">
        <v>0.20320997667806881</v>
      </c>
      <c r="H143" s="8">
        <v>7.2189542483659969E-2</v>
      </c>
      <c r="I143" s="8">
        <v>1.3775234981609789E-3</v>
      </c>
      <c r="J143" s="8">
        <v>5.2089923660666093E-3</v>
      </c>
      <c r="K143" s="8">
        <v>2.8759618088341366E-2</v>
      </c>
      <c r="L143" s="15">
        <v>0.34320490174671808</v>
      </c>
      <c r="AC143" s="7"/>
    </row>
    <row r="144" spans="1:29" x14ac:dyDescent="0.25">
      <c r="A144" s="7"/>
      <c r="C144" s="1" t="s">
        <v>17</v>
      </c>
      <c r="D144" s="8">
        <v>7.1278420448700128E-3</v>
      </c>
      <c r="E144" s="8">
        <v>1.8730267086679086E-2</v>
      </c>
      <c r="F144" s="8">
        <v>0.1418420448617628</v>
      </c>
      <c r="G144" s="8">
        <v>7.2189542483659969E-2</v>
      </c>
      <c r="H144" s="8">
        <v>2.996322120014659E-5</v>
      </c>
      <c r="I144" s="8">
        <v>0.72235125000000022</v>
      </c>
      <c r="J144" s="8">
        <v>8.2310789543736274E-2</v>
      </c>
      <c r="K144" s="8">
        <v>9.1417769855416567E-2</v>
      </c>
      <c r="L144" s="15">
        <v>1.135999469097325</v>
      </c>
      <c r="AC144" s="7"/>
    </row>
    <row r="145" spans="1:29" x14ac:dyDescent="0.25">
      <c r="A145" s="7"/>
      <c r="C145" s="1" t="s">
        <v>18</v>
      </c>
      <c r="D145" s="8">
        <v>1.8730267086679034E-2</v>
      </c>
      <c r="E145" s="8">
        <v>1.0492008227225786E-2</v>
      </c>
      <c r="F145" s="8">
        <v>7.2189542483660038E-2</v>
      </c>
      <c r="G145" s="8">
        <v>1.3775234981609984E-3</v>
      </c>
      <c r="H145" s="8">
        <v>0.10671931193662698</v>
      </c>
      <c r="I145" s="8">
        <v>2.3433945594729624E-2</v>
      </c>
      <c r="J145" s="8">
        <v>9.1417769855416567E-2</v>
      </c>
      <c r="K145" s="8">
        <v>5.4683457669875798E-2</v>
      </c>
      <c r="L145" s="15">
        <v>0.37904382635237482</v>
      </c>
      <c r="AC145" s="7"/>
    </row>
    <row r="146" spans="1:29" x14ac:dyDescent="0.25">
      <c r="A146" s="7"/>
      <c r="C146" s="1" t="s">
        <v>19</v>
      </c>
      <c r="D146" s="8">
        <v>0.1418420448617628</v>
      </c>
      <c r="E146" s="8">
        <v>0.76500000000000024</v>
      </c>
      <c r="F146" s="8">
        <v>0.10789906264355846</v>
      </c>
      <c r="G146" s="8">
        <v>5.2089923660666093E-3</v>
      </c>
      <c r="H146" s="8">
        <v>8.2310789543736274E-2</v>
      </c>
      <c r="I146" s="8">
        <v>9.1417769855416567E-2</v>
      </c>
      <c r="J146" s="8">
        <v>0.53184828432191478</v>
      </c>
      <c r="K146" s="8">
        <v>3.3883894822754044E-3</v>
      </c>
      <c r="L146" s="15">
        <v>1.7289153330747311</v>
      </c>
      <c r="AC146" s="7"/>
    </row>
    <row r="147" spans="1:29" x14ac:dyDescent="0.25">
      <c r="A147" s="7"/>
      <c r="C147" s="1" t="s">
        <v>20</v>
      </c>
      <c r="D147" s="8">
        <v>7.2189542483660038E-2</v>
      </c>
      <c r="E147" s="8">
        <v>1.2769530581664625</v>
      </c>
      <c r="F147" s="8">
        <v>0.3808374203236492</v>
      </c>
      <c r="G147" s="8">
        <v>2.8759618088341193E-2</v>
      </c>
      <c r="H147" s="8">
        <v>9.1417769855416567E-2</v>
      </c>
      <c r="I147" s="8">
        <v>1.1108126113435517E-2</v>
      </c>
      <c r="J147" s="8">
        <v>3.3883894822753628E-3</v>
      </c>
      <c r="K147" s="8">
        <v>4.8620291531624192E-2</v>
      </c>
      <c r="L147" s="15">
        <v>1.9132742160448648</v>
      </c>
      <c r="N147">
        <v>2.6161865298573055E-10</v>
      </c>
      <c r="AC147" s="7"/>
    </row>
    <row r="148" spans="1:29" x14ac:dyDescent="0.25">
      <c r="A148" s="7"/>
      <c r="B148" s="7"/>
      <c r="C148" s="7"/>
      <c r="D148" s="15">
        <v>0.34771939540638475</v>
      </c>
      <c r="E148" s="15">
        <v>2.1496326036468845</v>
      </c>
      <c r="F148" s="15">
        <v>1.9589229575967986</v>
      </c>
      <c r="G148" s="15">
        <v>0.34320490174671792</v>
      </c>
      <c r="H148" s="15">
        <v>0.52036753103395228</v>
      </c>
      <c r="I148" s="15">
        <v>0.9511004328593079</v>
      </c>
      <c r="J148" s="15">
        <v>1.7289153330747313</v>
      </c>
      <c r="K148" s="15">
        <v>3.5027897470947029</v>
      </c>
      <c r="L148" s="16">
        <v>11.502652902459481</v>
      </c>
      <c r="M148" t="s">
        <v>11</v>
      </c>
      <c r="N148" s="7">
        <v>0.99999999973838138</v>
      </c>
      <c r="O148" s="7" t="s">
        <v>61</v>
      </c>
      <c r="P148" s="7"/>
      <c r="Q148" s="7"/>
      <c r="R148" s="7"/>
      <c r="S148" s="7"/>
      <c r="T148" s="7"/>
      <c r="U148" s="7"/>
      <c r="V148" s="7"/>
      <c r="W148" s="7"/>
      <c r="X148" s="7"/>
      <c r="Y148" s="7"/>
      <c r="Z148" s="7"/>
      <c r="AA148" s="7"/>
      <c r="AB148" s="7"/>
      <c r="AC148" s="7"/>
    </row>
    <row r="151" spans="1:29" x14ac:dyDescent="0.25">
      <c r="D151" s="24" t="s">
        <v>71</v>
      </c>
      <c r="E151" s="24" t="s">
        <v>72</v>
      </c>
      <c r="F151" s="24" t="s">
        <v>73</v>
      </c>
      <c r="G151" s="24" t="s">
        <v>74</v>
      </c>
      <c r="H151" s="24" t="s">
        <v>75</v>
      </c>
      <c r="I151" s="24" t="s">
        <v>76</v>
      </c>
      <c r="J151" s="24" t="s">
        <v>77</v>
      </c>
      <c r="K151" s="24" t="s">
        <v>13</v>
      </c>
    </row>
    <row r="152" spans="1:29" x14ac:dyDescent="0.25">
      <c r="C152" s="24" t="s">
        <v>71</v>
      </c>
    </row>
    <row r="153" spans="1:29" x14ac:dyDescent="0.25">
      <c r="C153" s="24" t="s">
        <v>72</v>
      </c>
    </row>
    <row r="154" spans="1:29" x14ac:dyDescent="0.25">
      <c r="C154" s="24" t="s">
        <v>73</v>
      </c>
    </row>
    <row r="155" spans="1:29" x14ac:dyDescent="0.25">
      <c r="C155" s="24" t="s">
        <v>74</v>
      </c>
    </row>
    <row r="156" spans="1:29" x14ac:dyDescent="0.25">
      <c r="C156" s="24" t="s">
        <v>75</v>
      </c>
    </row>
    <row r="157" spans="1:29" x14ac:dyDescent="0.25">
      <c r="C157" s="24" t="s">
        <v>76</v>
      </c>
    </row>
    <row r="158" spans="1:29" x14ac:dyDescent="0.25">
      <c r="C158" s="24" t="s">
        <v>77</v>
      </c>
    </row>
    <row r="159" spans="1:29" x14ac:dyDescent="0.25">
      <c r="C159" s="24" t="s">
        <v>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workbookViewId="0">
      <selection activeCell="A4" sqref="A4"/>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0.5</v>
      </c>
      <c r="B2" s="19">
        <v>0.19728820086955379</v>
      </c>
      <c r="C2" s="19">
        <v>0.14767512189454104</v>
      </c>
      <c r="D2" s="19">
        <v>0</v>
      </c>
      <c r="E2" s="19">
        <v>0</v>
      </c>
      <c r="F2" s="19">
        <v>0</v>
      </c>
      <c r="G2" s="19">
        <v>0.66403300216628602</v>
      </c>
      <c r="H2" s="19">
        <v>0.33171882105138434</v>
      </c>
      <c r="I2" s="19">
        <v>0</v>
      </c>
      <c r="J2" s="19">
        <v>4.2481767823300031E-3</v>
      </c>
      <c r="K2" s="19">
        <v>0</v>
      </c>
      <c r="L2" s="1">
        <v>1.0000000000000002</v>
      </c>
      <c r="N2" t="s">
        <v>36</v>
      </c>
      <c r="O2" s="4">
        <v>0.59499999999999997</v>
      </c>
      <c r="P2" s="4">
        <v>0.59499999999999997</v>
      </c>
      <c r="AC2" s="7"/>
    </row>
    <row r="3" spans="1:29" x14ac:dyDescent="0.25">
      <c r="A3" t="s">
        <v>78</v>
      </c>
      <c r="B3" s="21">
        <v>108.27084982413493</v>
      </c>
      <c r="C3" s="18" t="s">
        <v>12</v>
      </c>
      <c r="D3" s="1" t="s">
        <v>13</v>
      </c>
      <c r="E3" s="1" t="s">
        <v>14</v>
      </c>
      <c r="F3" s="1" t="s">
        <v>15</v>
      </c>
      <c r="G3" s="1" t="s">
        <v>16</v>
      </c>
      <c r="H3" s="1" t="s">
        <v>17</v>
      </c>
      <c r="I3" s="1" t="s">
        <v>18</v>
      </c>
      <c r="J3" s="1" t="s">
        <v>19</v>
      </c>
      <c r="K3" s="1" t="s">
        <v>20</v>
      </c>
      <c r="L3" s="1"/>
      <c r="N3" t="s">
        <v>37</v>
      </c>
      <c r="O3" s="4">
        <v>0.60499999999999998</v>
      </c>
      <c r="P3" s="4">
        <v>0.6</v>
      </c>
      <c r="Q3" t="s">
        <v>55</v>
      </c>
      <c r="Y3" s="1" t="s">
        <v>12</v>
      </c>
      <c r="Z3" t="s">
        <v>47</v>
      </c>
      <c r="AA3" t="s">
        <v>48</v>
      </c>
      <c r="AB3" t="s">
        <v>49</v>
      </c>
      <c r="AC3" s="7"/>
    </row>
    <row r="4" spans="1:29" x14ac:dyDescent="0.25">
      <c r="A4" t="s">
        <v>21</v>
      </c>
      <c r="B4">
        <v>9.724504567198201E-7</v>
      </c>
      <c r="C4" s="1" t="s">
        <v>13</v>
      </c>
      <c r="D4">
        <v>17</v>
      </c>
      <c r="E4">
        <v>3</v>
      </c>
      <c r="F4">
        <v>4</v>
      </c>
      <c r="G4">
        <v>1</v>
      </c>
      <c r="H4">
        <v>6</v>
      </c>
      <c r="I4">
        <v>1</v>
      </c>
      <c r="J4">
        <v>2</v>
      </c>
      <c r="K4">
        <v>2</v>
      </c>
      <c r="L4" s="1">
        <v>36</v>
      </c>
      <c r="N4" t="s">
        <v>38</v>
      </c>
      <c r="O4" s="4">
        <v>0.6</v>
      </c>
      <c r="P4" s="4">
        <v>0.59499999999999997</v>
      </c>
      <c r="Q4" t="s">
        <v>56</v>
      </c>
      <c r="T4" t="s">
        <v>44</v>
      </c>
      <c r="V4" t="s">
        <v>57</v>
      </c>
      <c r="Y4" s="1" t="s">
        <v>13</v>
      </c>
      <c r="Z4">
        <v>36</v>
      </c>
      <c r="AA4">
        <v>17</v>
      </c>
      <c r="AB4">
        <v>19</v>
      </c>
      <c r="AC4" s="7"/>
    </row>
    <row r="5" spans="1:29" x14ac:dyDescent="0.25">
      <c r="C5" s="1" t="s">
        <v>14</v>
      </c>
      <c r="D5">
        <v>3</v>
      </c>
      <c r="E5">
        <v>1</v>
      </c>
      <c r="F5">
        <v>1</v>
      </c>
      <c r="G5">
        <v>1</v>
      </c>
      <c r="H5">
        <v>1</v>
      </c>
      <c r="I5">
        <v>1</v>
      </c>
      <c r="J5">
        <v>0</v>
      </c>
      <c r="K5">
        <v>1</v>
      </c>
      <c r="L5" s="1">
        <v>9</v>
      </c>
      <c r="M5" s="10" t="s">
        <v>39</v>
      </c>
      <c r="N5" s="10">
        <v>1</v>
      </c>
      <c r="O5" s="10">
        <v>2</v>
      </c>
      <c r="P5" s="10" t="s">
        <v>39</v>
      </c>
      <c r="Q5" s="10">
        <v>1</v>
      </c>
      <c r="R5" s="10">
        <v>2</v>
      </c>
      <c r="S5" s="10" t="s">
        <v>39</v>
      </c>
      <c r="T5" s="10">
        <v>1</v>
      </c>
      <c r="U5" s="10">
        <v>2</v>
      </c>
      <c r="V5" s="10" t="s">
        <v>11</v>
      </c>
      <c r="W5" t="s">
        <v>42</v>
      </c>
      <c r="X5" t="s">
        <v>43</v>
      </c>
      <c r="Y5" s="1" t="s">
        <v>14</v>
      </c>
      <c r="Z5">
        <v>9</v>
      </c>
      <c r="AA5">
        <v>1</v>
      </c>
      <c r="AB5">
        <v>8</v>
      </c>
      <c r="AC5" s="7"/>
    </row>
    <row r="6" spans="1:29" x14ac:dyDescent="0.25">
      <c r="A6" t="s">
        <v>22</v>
      </c>
      <c r="B6" s="20">
        <v>0.5</v>
      </c>
      <c r="C6" s="1" t="s">
        <v>15</v>
      </c>
      <c r="D6">
        <v>5</v>
      </c>
      <c r="E6">
        <v>1</v>
      </c>
      <c r="F6">
        <v>0</v>
      </c>
      <c r="G6">
        <v>1</v>
      </c>
      <c r="H6">
        <v>2</v>
      </c>
      <c r="I6">
        <v>1</v>
      </c>
      <c r="J6">
        <v>1</v>
      </c>
      <c r="K6">
        <v>2</v>
      </c>
      <c r="L6" s="1">
        <v>13</v>
      </c>
      <c r="M6" s="10">
        <v>1</v>
      </c>
      <c r="N6">
        <v>44</v>
      </c>
      <c r="O6">
        <v>37</v>
      </c>
      <c r="P6" s="10">
        <v>1</v>
      </c>
      <c r="Q6">
        <v>32.805</v>
      </c>
      <c r="R6">
        <v>48.195</v>
      </c>
      <c r="S6" s="10">
        <v>1</v>
      </c>
      <c r="T6">
        <v>3.8203939948178633</v>
      </c>
      <c r="U6">
        <v>2.6004362485735038</v>
      </c>
      <c r="V6" s="12">
        <v>10.791311333430867</v>
      </c>
      <c r="W6">
        <v>0.99898022384529428</v>
      </c>
      <c r="X6" s="12">
        <v>1.0197761547057205E-3</v>
      </c>
      <c r="Y6" s="1" t="s">
        <v>15</v>
      </c>
      <c r="Z6">
        <v>13</v>
      </c>
      <c r="AA6">
        <v>0</v>
      </c>
      <c r="AB6">
        <v>13</v>
      </c>
      <c r="AC6" s="7"/>
    </row>
    <row r="7" spans="1:29" x14ac:dyDescent="0.25">
      <c r="A7" t="s">
        <v>23</v>
      </c>
      <c r="B7" s="20">
        <v>0.19728820086955379</v>
      </c>
      <c r="C7" s="1" t="s">
        <v>16</v>
      </c>
      <c r="D7">
        <v>1</v>
      </c>
      <c r="E7">
        <v>1</v>
      </c>
      <c r="F7">
        <v>1</v>
      </c>
      <c r="G7">
        <v>3</v>
      </c>
      <c r="H7">
        <v>1</v>
      </c>
      <c r="I7">
        <v>3</v>
      </c>
      <c r="J7">
        <v>2</v>
      </c>
      <c r="K7">
        <v>11</v>
      </c>
      <c r="L7" s="1">
        <v>23</v>
      </c>
      <c r="M7" s="10">
        <v>2</v>
      </c>
      <c r="N7">
        <v>37</v>
      </c>
      <c r="O7">
        <v>82</v>
      </c>
      <c r="P7" s="10">
        <v>2</v>
      </c>
      <c r="Q7">
        <v>48.195</v>
      </c>
      <c r="R7">
        <v>70.805000000000007</v>
      </c>
      <c r="S7" s="10">
        <v>2</v>
      </c>
      <c r="T7">
        <v>2.6004362485735038</v>
      </c>
      <c r="U7">
        <v>1.7700448414659957</v>
      </c>
      <c r="Y7" s="1" t="s">
        <v>16</v>
      </c>
      <c r="Z7">
        <v>23</v>
      </c>
      <c r="AA7">
        <v>3</v>
      </c>
      <c r="AB7">
        <v>20</v>
      </c>
      <c r="AC7" s="7"/>
    </row>
    <row r="8" spans="1:29" x14ac:dyDescent="0.25">
      <c r="A8" t="s">
        <v>24</v>
      </c>
      <c r="B8" s="20">
        <v>0.14767512189454104</v>
      </c>
      <c r="C8" s="1" t="s">
        <v>17</v>
      </c>
      <c r="D8">
        <v>6</v>
      </c>
      <c r="E8">
        <v>1</v>
      </c>
      <c r="F8">
        <v>2</v>
      </c>
      <c r="G8">
        <v>1</v>
      </c>
      <c r="H8">
        <v>2</v>
      </c>
      <c r="I8">
        <v>0</v>
      </c>
      <c r="J8">
        <v>1</v>
      </c>
      <c r="K8">
        <v>2</v>
      </c>
      <c r="L8" s="1">
        <v>15</v>
      </c>
      <c r="M8" s="10" t="s">
        <v>40</v>
      </c>
      <c r="N8">
        <v>1</v>
      </c>
      <c r="O8">
        <v>2</v>
      </c>
      <c r="P8" s="10" t="s">
        <v>40</v>
      </c>
      <c r="S8" s="10" t="s">
        <v>40</v>
      </c>
      <c r="Y8" s="1" t="s">
        <v>17</v>
      </c>
      <c r="Z8">
        <v>15</v>
      </c>
      <c r="AA8">
        <v>2</v>
      </c>
      <c r="AB8">
        <v>13</v>
      </c>
      <c r="AC8" s="7"/>
    </row>
    <row r="9" spans="1:29" x14ac:dyDescent="0.25">
      <c r="C9" s="1" t="s">
        <v>18</v>
      </c>
      <c r="D9">
        <v>1</v>
      </c>
      <c r="E9">
        <v>1</v>
      </c>
      <c r="F9">
        <v>1</v>
      </c>
      <c r="G9">
        <v>3</v>
      </c>
      <c r="H9">
        <v>1</v>
      </c>
      <c r="I9">
        <v>2</v>
      </c>
      <c r="J9">
        <v>2</v>
      </c>
      <c r="K9">
        <v>8</v>
      </c>
      <c r="L9" s="1">
        <v>19</v>
      </c>
      <c r="M9" s="10">
        <v>1</v>
      </c>
      <c r="N9">
        <v>47</v>
      </c>
      <c r="O9">
        <v>32</v>
      </c>
      <c r="P9" s="10">
        <v>1</v>
      </c>
      <c r="Q9">
        <v>31.6</v>
      </c>
      <c r="R9">
        <v>47.4</v>
      </c>
      <c r="S9" s="10">
        <v>1</v>
      </c>
      <c r="T9">
        <v>7.5050632911392388</v>
      </c>
      <c r="U9">
        <v>5.0033755274261598</v>
      </c>
      <c r="V9" s="12">
        <v>20.675105485232066</v>
      </c>
      <c r="W9">
        <v>0.99999455810598126</v>
      </c>
      <c r="X9" s="12">
        <v>5.4418940187428433E-6</v>
      </c>
      <c r="Y9" s="1" t="s">
        <v>18</v>
      </c>
      <c r="Z9">
        <v>19</v>
      </c>
      <c r="AA9">
        <v>2</v>
      </c>
      <c r="AB9">
        <v>17</v>
      </c>
      <c r="AC9" s="7"/>
    </row>
    <row r="10" spans="1:29" x14ac:dyDescent="0.25">
      <c r="A10" s="7"/>
      <c r="C10" s="1" t="s">
        <v>19</v>
      </c>
      <c r="D10">
        <v>2</v>
      </c>
      <c r="E10">
        <v>0</v>
      </c>
      <c r="F10">
        <v>1</v>
      </c>
      <c r="G10">
        <v>2</v>
      </c>
      <c r="H10">
        <v>1</v>
      </c>
      <c r="I10">
        <v>2</v>
      </c>
      <c r="J10">
        <v>2</v>
      </c>
      <c r="K10">
        <v>6</v>
      </c>
      <c r="L10" s="1">
        <v>16</v>
      </c>
      <c r="M10" s="10">
        <v>2</v>
      </c>
      <c r="N10">
        <v>33</v>
      </c>
      <c r="O10">
        <v>88</v>
      </c>
      <c r="P10" s="10">
        <v>2</v>
      </c>
      <c r="Q10">
        <v>48.4</v>
      </c>
      <c r="R10">
        <v>72.599999999999994</v>
      </c>
      <c r="S10" s="10">
        <v>2</v>
      </c>
      <c r="T10">
        <v>4.8999999999999995</v>
      </c>
      <c r="U10">
        <v>3.2666666666666693</v>
      </c>
      <c r="Y10" s="1" t="s">
        <v>19</v>
      </c>
      <c r="Z10">
        <v>16</v>
      </c>
      <c r="AA10">
        <v>2</v>
      </c>
      <c r="AB10">
        <v>14</v>
      </c>
      <c r="AC10" s="7"/>
    </row>
    <row r="11" spans="1:29" x14ac:dyDescent="0.25">
      <c r="A11" s="7">
        <v>0</v>
      </c>
      <c r="B11" s="6">
        <v>0</v>
      </c>
      <c r="C11" s="1" t="s">
        <v>20</v>
      </c>
      <c r="D11">
        <v>1</v>
      </c>
      <c r="E11">
        <v>1</v>
      </c>
      <c r="F11">
        <v>3</v>
      </c>
      <c r="G11">
        <v>11</v>
      </c>
      <c r="H11">
        <v>2</v>
      </c>
      <c r="I11">
        <v>9</v>
      </c>
      <c r="J11">
        <v>6</v>
      </c>
      <c r="K11">
        <v>36</v>
      </c>
      <c r="L11" s="1">
        <v>69</v>
      </c>
      <c r="M11" s="10" t="s">
        <v>41</v>
      </c>
      <c r="N11">
        <v>1</v>
      </c>
      <c r="O11">
        <v>2</v>
      </c>
      <c r="P11" s="10" t="s">
        <v>41</v>
      </c>
      <c r="S11" s="10" t="s">
        <v>41</v>
      </c>
      <c r="Y11" s="1" t="s">
        <v>20</v>
      </c>
      <c r="Z11">
        <v>69</v>
      </c>
      <c r="AA11">
        <v>36</v>
      </c>
      <c r="AB11">
        <v>33</v>
      </c>
      <c r="AC11" s="7"/>
    </row>
    <row r="12" spans="1:29" x14ac:dyDescent="0.25">
      <c r="A12" s="7"/>
      <c r="B12" s="6"/>
      <c r="C12" s="1"/>
      <c r="D12" s="1">
        <v>36</v>
      </c>
      <c r="E12" s="1">
        <v>9</v>
      </c>
      <c r="F12" s="1">
        <v>13</v>
      </c>
      <c r="G12" s="1">
        <v>23</v>
      </c>
      <c r="H12" s="1">
        <v>16</v>
      </c>
      <c r="I12" s="1">
        <v>19</v>
      </c>
      <c r="J12" s="1">
        <v>16</v>
      </c>
      <c r="K12" s="1">
        <v>68</v>
      </c>
      <c r="L12" s="1">
        <v>200</v>
      </c>
      <c r="M12" s="10">
        <v>1</v>
      </c>
      <c r="N12">
        <v>54</v>
      </c>
      <c r="O12">
        <v>26</v>
      </c>
      <c r="P12" s="10">
        <v>1</v>
      </c>
      <c r="Q12">
        <v>32.4</v>
      </c>
      <c r="R12">
        <v>47.6</v>
      </c>
      <c r="S12" s="10">
        <v>1</v>
      </c>
      <c r="T12">
        <v>14.400000000000002</v>
      </c>
      <c r="U12">
        <v>9.8016806722689083</v>
      </c>
      <c r="V12" s="12">
        <v>40.336134453781519</v>
      </c>
      <c r="W12">
        <v>0.99999999978618248</v>
      </c>
      <c r="X12" s="12">
        <v>2.1381751924565151E-10</v>
      </c>
      <c r="Y12" s="1" t="s">
        <v>46</v>
      </c>
      <c r="Z12" s="7">
        <v>200</v>
      </c>
      <c r="AA12" s="7">
        <v>63</v>
      </c>
      <c r="AB12" s="7">
        <v>137</v>
      </c>
      <c r="AC12" s="7"/>
    </row>
    <row r="13" spans="1:29" x14ac:dyDescent="0.25">
      <c r="A13" s="7"/>
      <c r="C13" s="1" t="s">
        <v>25</v>
      </c>
      <c r="D13" s="4">
        <v>0</v>
      </c>
      <c r="E13" s="4">
        <v>0</v>
      </c>
      <c r="F13" s="4">
        <v>0</v>
      </c>
      <c r="G13" s="4">
        <v>0</v>
      </c>
      <c r="H13" s="4">
        <v>0</v>
      </c>
      <c r="I13" s="4">
        <v>0</v>
      </c>
      <c r="J13" s="4">
        <v>0</v>
      </c>
      <c r="K13" s="4">
        <v>0</v>
      </c>
      <c r="M13" s="10">
        <v>2</v>
      </c>
      <c r="N13">
        <v>27</v>
      </c>
      <c r="O13">
        <v>93</v>
      </c>
      <c r="P13" s="10">
        <v>2</v>
      </c>
      <c r="Q13">
        <v>48.6</v>
      </c>
      <c r="R13">
        <v>71.400000000000006</v>
      </c>
      <c r="S13" s="10">
        <v>2</v>
      </c>
      <c r="T13">
        <v>9.6000000000000014</v>
      </c>
      <c r="U13">
        <v>6.5344537815126014</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0.34208561817383565</v>
      </c>
      <c r="C15" s="1" t="s">
        <v>13</v>
      </c>
      <c r="D15" s="4">
        <v>0</v>
      </c>
      <c r="E15" s="4">
        <v>0</v>
      </c>
      <c r="F15" s="4">
        <v>0</v>
      </c>
      <c r="G15" s="4">
        <v>0</v>
      </c>
      <c r="H15" s="4">
        <v>0</v>
      </c>
      <c r="I15" s="4">
        <v>0</v>
      </c>
      <c r="J15" s="4">
        <v>0</v>
      </c>
      <c r="K15" s="4">
        <v>0</v>
      </c>
      <c r="AC15" s="7"/>
    </row>
    <row r="16" spans="1:29" x14ac:dyDescent="0.25">
      <c r="A16" s="7"/>
      <c r="B16" s="4">
        <v>5.9270281391387493E-2</v>
      </c>
      <c r="C16" s="1" t="s">
        <v>14</v>
      </c>
      <c r="D16" s="4">
        <v>0</v>
      </c>
      <c r="E16" s="4">
        <v>0</v>
      </c>
      <c r="F16" s="4">
        <v>0</v>
      </c>
      <c r="G16" s="4">
        <v>0</v>
      </c>
      <c r="H16" s="4">
        <v>0</v>
      </c>
      <c r="I16" s="4">
        <v>0</v>
      </c>
      <c r="J16" s="4">
        <v>0</v>
      </c>
      <c r="K16" s="4">
        <v>0</v>
      </c>
      <c r="O16" s="8"/>
      <c r="AC16" s="7"/>
    </row>
    <row r="17" spans="1:29" x14ac:dyDescent="0.25">
      <c r="A17" s="7"/>
      <c r="B17" s="4">
        <v>8.4076820878893871E-2</v>
      </c>
      <c r="C17" s="1" t="s">
        <v>15</v>
      </c>
      <c r="D17" s="4">
        <v>0</v>
      </c>
      <c r="E17" s="4">
        <v>0</v>
      </c>
      <c r="F17" s="4">
        <v>0</v>
      </c>
      <c r="G17" s="4">
        <v>0</v>
      </c>
      <c r="H17" s="4">
        <v>0</v>
      </c>
      <c r="I17" s="4">
        <v>0</v>
      </c>
      <c r="J17" s="4">
        <v>0</v>
      </c>
      <c r="K17" s="4">
        <v>0</v>
      </c>
      <c r="AC17" s="7"/>
    </row>
    <row r="18" spans="1:29" x14ac:dyDescent="0.25">
      <c r="A18" s="7"/>
      <c r="B18" s="4">
        <v>1.4567279555883028E-2</v>
      </c>
      <c r="C18" s="1" t="s">
        <v>16</v>
      </c>
      <c r="D18" s="4">
        <v>0</v>
      </c>
      <c r="E18" s="4">
        <v>0</v>
      </c>
      <c r="F18" s="4">
        <v>0</v>
      </c>
      <c r="G18" s="4">
        <v>0</v>
      </c>
      <c r="H18" s="4">
        <v>0</v>
      </c>
      <c r="I18" s="4">
        <v>0</v>
      </c>
      <c r="J18" s="4">
        <v>0</v>
      </c>
      <c r="K18" s="4">
        <v>0</v>
      </c>
      <c r="AC18" s="7"/>
    </row>
    <row r="19" spans="1:29" x14ac:dyDescent="0.25">
      <c r="A19" s="7"/>
      <c r="B19" s="4">
        <v>0.34208561817383565</v>
      </c>
      <c r="C19" s="1" t="s">
        <v>17</v>
      </c>
      <c r="D19" s="4">
        <v>0</v>
      </c>
      <c r="E19" s="4">
        <v>0</v>
      </c>
      <c r="F19" s="4">
        <v>0</v>
      </c>
      <c r="G19" s="4">
        <v>0</v>
      </c>
      <c r="H19" s="4">
        <v>0</v>
      </c>
      <c r="I19" s="4">
        <v>0</v>
      </c>
      <c r="J19" s="4">
        <v>0</v>
      </c>
      <c r="K19" s="4">
        <v>0</v>
      </c>
      <c r="AC19" s="7"/>
    </row>
    <row r="20" spans="1:29" x14ac:dyDescent="0.25">
      <c r="A20" s="7"/>
      <c r="B20" s="4">
        <v>5.9270281391387493E-2</v>
      </c>
      <c r="C20" s="1" t="s">
        <v>18</v>
      </c>
      <c r="D20" s="4">
        <v>0</v>
      </c>
      <c r="E20" s="4">
        <v>0</v>
      </c>
      <c r="F20" s="4">
        <v>0</v>
      </c>
      <c r="G20" s="4">
        <v>0</v>
      </c>
      <c r="H20" s="4">
        <v>0</v>
      </c>
      <c r="I20" s="4">
        <v>0</v>
      </c>
      <c r="J20" s="4">
        <v>0</v>
      </c>
      <c r="K20" s="4">
        <v>0</v>
      </c>
      <c r="AC20" s="7"/>
    </row>
    <row r="21" spans="1:29" x14ac:dyDescent="0.25">
      <c r="A21" s="7"/>
      <c r="B21" s="4">
        <v>8.4076820878893871E-2</v>
      </c>
      <c r="C21" s="1" t="s">
        <v>19</v>
      </c>
      <c r="D21" s="4">
        <v>0</v>
      </c>
      <c r="E21" s="4">
        <v>0</v>
      </c>
      <c r="F21" s="4">
        <v>0</v>
      </c>
      <c r="G21" s="4">
        <v>0</v>
      </c>
      <c r="H21" s="4">
        <v>0</v>
      </c>
      <c r="I21" s="4">
        <v>0</v>
      </c>
      <c r="J21" s="4">
        <v>0</v>
      </c>
      <c r="K21" s="4">
        <v>0</v>
      </c>
      <c r="M21" t="s">
        <v>62</v>
      </c>
      <c r="AC21" s="7"/>
    </row>
    <row r="22" spans="1:29" x14ac:dyDescent="0.25">
      <c r="A22" s="7"/>
      <c r="B22" s="4">
        <v>1.4567279555883028E-2</v>
      </c>
      <c r="C22" s="1" t="s">
        <v>20</v>
      </c>
      <c r="D22" s="4">
        <v>0</v>
      </c>
      <c r="E22" s="4">
        <v>0</v>
      </c>
      <c r="F22" s="4">
        <v>0</v>
      </c>
      <c r="G22" s="4">
        <v>0</v>
      </c>
      <c r="H22" s="4">
        <v>0</v>
      </c>
      <c r="I22" s="4">
        <v>0</v>
      </c>
      <c r="J22" s="4">
        <v>0</v>
      </c>
      <c r="K22" s="4">
        <v>0</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6.5610000000000016E-2</v>
      </c>
      <c r="P24">
        <v>9.6390000000000017E-2</v>
      </c>
      <c r="Q24">
        <v>9.8415000000000002E-2</v>
      </c>
      <c r="R24">
        <v>0.14458499999999999</v>
      </c>
      <c r="S24">
        <v>9.6390000000000003E-2</v>
      </c>
      <c r="T24">
        <v>0.14160999999999999</v>
      </c>
      <c r="U24">
        <v>0.14458499999999999</v>
      </c>
      <c r="V24">
        <v>0.21241499999999999</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5.9270281391387493E-2</v>
      </c>
      <c r="C26" s="1" t="s">
        <v>13</v>
      </c>
      <c r="D26" s="4">
        <v>0</v>
      </c>
      <c r="E26" s="4">
        <v>0</v>
      </c>
      <c r="F26" s="4">
        <v>0</v>
      </c>
      <c r="G26" s="4">
        <v>0</v>
      </c>
      <c r="H26" s="4">
        <v>0</v>
      </c>
      <c r="I26" s="4">
        <v>0</v>
      </c>
      <c r="J26" s="4">
        <v>0</v>
      </c>
      <c r="K26" s="4">
        <v>0</v>
      </c>
      <c r="M26" s="4">
        <v>6.3990000000000005E-2</v>
      </c>
      <c r="N26" s="1" t="s">
        <v>13</v>
      </c>
      <c r="O26">
        <v>4.1983839000000016E-3</v>
      </c>
      <c r="P26">
        <v>6.1679961000000016E-3</v>
      </c>
      <c r="Q26">
        <v>6.2975758500000006E-3</v>
      </c>
      <c r="R26">
        <v>9.2519941499999998E-3</v>
      </c>
      <c r="S26">
        <v>6.1679961000000007E-3</v>
      </c>
      <c r="T26">
        <v>9.0616238999999994E-3</v>
      </c>
      <c r="U26">
        <v>9.2519941499999998E-3</v>
      </c>
      <c r="V26">
        <v>1.3592435850000001E-2</v>
      </c>
      <c r="AC26" s="7"/>
    </row>
    <row r="27" spans="1:29" x14ac:dyDescent="0.25">
      <c r="A27" s="7"/>
      <c r="B27" s="4">
        <v>0.34208561817383565</v>
      </c>
      <c r="C27" s="1" t="s">
        <v>14</v>
      </c>
      <c r="D27" s="4">
        <v>0</v>
      </c>
      <c r="E27" s="4">
        <v>0</v>
      </c>
      <c r="F27" s="4">
        <v>0</v>
      </c>
      <c r="G27" s="4">
        <v>0</v>
      </c>
      <c r="H27" s="4">
        <v>0</v>
      </c>
      <c r="I27" s="4">
        <v>0</v>
      </c>
      <c r="J27" s="4">
        <v>0</v>
      </c>
      <c r="K27" s="4">
        <v>0</v>
      </c>
      <c r="M27" s="4">
        <v>9.5985000000000001E-2</v>
      </c>
      <c r="N27" s="1" t="s">
        <v>14</v>
      </c>
      <c r="O27">
        <v>6.2975758500000015E-3</v>
      </c>
      <c r="P27">
        <v>9.2519941500000015E-3</v>
      </c>
      <c r="Q27">
        <v>9.446363775000001E-3</v>
      </c>
      <c r="R27">
        <v>1.3877991224999999E-2</v>
      </c>
      <c r="S27">
        <v>9.2519941499999998E-3</v>
      </c>
      <c r="T27">
        <v>1.3592435849999999E-2</v>
      </c>
      <c r="U27">
        <v>1.3877991224999999E-2</v>
      </c>
      <c r="V27">
        <v>2.0388653774999998E-2</v>
      </c>
      <c r="AC27" s="7"/>
    </row>
    <row r="28" spans="1:29" x14ac:dyDescent="0.25">
      <c r="A28" s="7"/>
      <c r="B28" s="4">
        <v>1.4567279555883028E-2</v>
      </c>
      <c r="C28" s="1" t="s">
        <v>15</v>
      </c>
      <c r="D28" s="4">
        <v>0</v>
      </c>
      <c r="E28" s="4">
        <v>0</v>
      </c>
      <c r="F28" s="4">
        <v>0</v>
      </c>
      <c r="G28" s="4">
        <v>0</v>
      </c>
      <c r="H28" s="4">
        <v>0</v>
      </c>
      <c r="I28" s="4">
        <v>0</v>
      </c>
      <c r="J28" s="4">
        <v>0</v>
      </c>
      <c r="K28" s="4">
        <v>0</v>
      </c>
      <c r="M28" s="4">
        <v>9.8010000000000014E-2</v>
      </c>
      <c r="N28" s="1" t="s">
        <v>15</v>
      </c>
      <c r="O28">
        <v>6.4304361000000025E-3</v>
      </c>
      <c r="P28">
        <v>9.447183900000003E-3</v>
      </c>
      <c r="Q28">
        <v>9.645654150000002E-3</v>
      </c>
      <c r="R28">
        <v>1.4170775850000001E-2</v>
      </c>
      <c r="S28">
        <v>9.4471839000000012E-3</v>
      </c>
      <c r="T28">
        <v>1.3879196100000001E-2</v>
      </c>
      <c r="U28">
        <v>1.4170775850000001E-2</v>
      </c>
      <c r="V28">
        <v>2.0818794150000004E-2</v>
      </c>
      <c r="AC28" s="7"/>
    </row>
    <row r="29" spans="1:29" x14ac:dyDescent="0.25">
      <c r="A29" s="7"/>
      <c r="B29" s="4">
        <v>8.4076820878893871E-2</v>
      </c>
      <c r="C29" s="1" t="s">
        <v>16</v>
      </c>
      <c r="D29" s="4">
        <v>0</v>
      </c>
      <c r="E29" s="4">
        <v>0</v>
      </c>
      <c r="F29" s="4">
        <v>0</v>
      </c>
      <c r="G29" s="4">
        <v>0</v>
      </c>
      <c r="H29" s="4">
        <v>0</v>
      </c>
      <c r="I29" s="4">
        <v>0</v>
      </c>
      <c r="J29" s="4">
        <v>0</v>
      </c>
      <c r="K29" s="4">
        <v>0</v>
      </c>
      <c r="M29" s="4">
        <v>0.14701500000000001</v>
      </c>
      <c r="N29" s="1" t="s">
        <v>16</v>
      </c>
      <c r="O29">
        <v>9.645654150000002E-3</v>
      </c>
      <c r="P29">
        <v>1.4170775850000003E-2</v>
      </c>
      <c r="Q29">
        <v>1.4468481225000001E-2</v>
      </c>
      <c r="R29">
        <v>2.1256163775E-2</v>
      </c>
      <c r="S29">
        <v>1.4170775850000001E-2</v>
      </c>
      <c r="T29">
        <v>2.081879415E-2</v>
      </c>
      <c r="U29">
        <v>2.1256163775E-2</v>
      </c>
      <c r="V29">
        <v>3.1228191225E-2</v>
      </c>
      <c r="AC29" s="7"/>
    </row>
    <row r="30" spans="1:29" x14ac:dyDescent="0.25">
      <c r="A30" s="7"/>
      <c r="B30" s="4">
        <v>5.9270281391387493E-2</v>
      </c>
      <c r="C30" s="1" t="s">
        <v>17</v>
      </c>
      <c r="D30" s="4">
        <v>0</v>
      </c>
      <c r="E30" s="4">
        <v>0</v>
      </c>
      <c r="F30" s="4">
        <v>0</v>
      </c>
      <c r="G30" s="4">
        <v>0</v>
      </c>
      <c r="H30" s="4">
        <v>0</v>
      </c>
      <c r="I30" s="4">
        <v>0</v>
      </c>
      <c r="J30" s="4">
        <v>0</v>
      </c>
      <c r="K30" s="4">
        <v>0</v>
      </c>
      <c r="M30" s="4">
        <v>9.401000000000001E-2</v>
      </c>
      <c r="N30" s="1" t="s">
        <v>17</v>
      </c>
      <c r="O30">
        <v>6.1679961000000024E-3</v>
      </c>
      <c r="P30">
        <v>9.0616239000000029E-3</v>
      </c>
      <c r="Q30">
        <v>9.2519941500000015E-3</v>
      </c>
      <c r="R30">
        <v>1.3592435850000001E-2</v>
      </c>
      <c r="S30">
        <v>9.0616239000000012E-3</v>
      </c>
      <c r="T30">
        <v>1.33127561E-2</v>
      </c>
      <c r="U30">
        <v>1.3592435850000001E-2</v>
      </c>
      <c r="V30">
        <v>1.9969134150000001E-2</v>
      </c>
      <c r="AC30" s="7"/>
    </row>
    <row r="31" spans="1:29" x14ac:dyDescent="0.25">
      <c r="A31" s="7"/>
      <c r="B31" s="4">
        <v>0.34208561817383565</v>
      </c>
      <c r="C31" s="1" t="s">
        <v>18</v>
      </c>
      <c r="D31" s="4">
        <v>0</v>
      </c>
      <c r="E31" s="4">
        <v>0</v>
      </c>
      <c r="F31" s="4">
        <v>0</v>
      </c>
      <c r="G31" s="4">
        <v>0</v>
      </c>
      <c r="H31" s="4">
        <v>0</v>
      </c>
      <c r="I31" s="4">
        <v>0</v>
      </c>
      <c r="J31" s="4">
        <v>0</v>
      </c>
      <c r="K31" s="4">
        <v>0</v>
      </c>
      <c r="M31" s="4">
        <v>0.141015</v>
      </c>
      <c r="N31" s="1" t="s">
        <v>18</v>
      </c>
      <c r="O31">
        <v>9.2519941500000015E-3</v>
      </c>
      <c r="P31">
        <v>1.3592435850000003E-2</v>
      </c>
      <c r="Q31">
        <v>1.3877991225000001E-2</v>
      </c>
      <c r="R31">
        <v>2.0388653774999998E-2</v>
      </c>
      <c r="S31">
        <v>1.3592435850000001E-2</v>
      </c>
      <c r="T31">
        <v>1.9969134149999998E-2</v>
      </c>
      <c r="U31">
        <v>2.0388653774999998E-2</v>
      </c>
      <c r="V31">
        <v>2.9953701225000001E-2</v>
      </c>
      <c r="AC31" s="7"/>
    </row>
    <row r="32" spans="1:29" x14ac:dyDescent="0.25">
      <c r="A32" s="7"/>
      <c r="B32" s="4">
        <v>1.4567279555883028E-2</v>
      </c>
      <c r="C32" s="1" t="s">
        <v>19</v>
      </c>
      <c r="D32" s="4">
        <v>0</v>
      </c>
      <c r="E32" s="4">
        <v>0</v>
      </c>
      <c r="F32" s="4">
        <v>0</v>
      </c>
      <c r="G32" s="4">
        <v>0</v>
      </c>
      <c r="H32" s="4">
        <v>0</v>
      </c>
      <c r="I32" s="4">
        <v>0</v>
      </c>
      <c r="J32" s="4">
        <v>0</v>
      </c>
      <c r="K32" s="4">
        <v>0</v>
      </c>
      <c r="M32" s="4">
        <v>0.14399000000000001</v>
      </c>
      <c r="N32" s="1" t="s">
        <v>19</v>
      </c>
      <c r="O32">
        <v>9.447183900000003E-3</v>
      </c>
      <c r="P32">
        <v>1.3879196100000003E-2</v>
      </c>
      <c r="Q32">
        <v>1.4170775850000001E-2</v>
      </c>
      <c r="R32">
        <v>2.081879415E-2</v>
      </c>
      <c r="S32">
        <v>1.3879196100000001E-2</v>
      </c>
      <c r="T32">
        <v>2.0390423899999999E-2</v>
      </c>
      <c r="U32">
        <v>2.081879415E-2</v>
      </c>
      <c r="V32">
        <v>3.0585635850000001E-2</v>
      </c>
      <c r="AC32" s="7"/>
    </row>
    <row r="33" spans="1:29" x14ac:dyDescent="0.25">
      <c r="A33" s="7"/>
      <c r="B33" s="4">
        <v>8.4076820878893871E-2</v>
      </c>
      <c r="C33" s="1" t="s">
        <v>20</v>
      </c>
      <c r="D33" s="4">
        <v>0</v>
      </c>
      <c r="E33" s="4">
        <v>0</v>
      </c>
      <c r="F33" s="4">
        <v>0</v>
      </c>
      <c r="G33" s="4">
        <v>0</v>
      </c>
      <c r="H33" s="4">
        <v>0</v>
      </c>
      <c r="I33" s="4">
        <v>0</v>
      </c>
      <c r="J33" s="4">
        <v>0</v>
      </c>
      <c r="K33" s="4">
        <v>0</v>
      </c>
      <c r="M33" s="4">
        <v>0.21598499999999998</v>
      </c>
      <c r="N33" s="1" t="s">
        <v>20</v>
      </c>
      <c r="O33">
        <v>1.4170775850000003E-2</v>
      </c>
      <c r="P33">
        <v>2.0818794150000004E-2</v>
      </c>
      <c r="Q33">
        <v>2.1256163775E-2</v>
      </c>
      <c r="R33">
        <v>3.1228191224999997E-2</v>
      </c>
      <c r="S33">
        <v>2.081879415E-2</v>
      </c>
      <c r="T33">
        <v>3.0585635849999994E-2</v>
      </c>
      <c r="U33">
        <v>3.1228191224999997E-2</v>
      </c>
      <c r="V33">
        <v>4.5878453774999994E-2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8.4076820878893871E-2</v>
      </c>
      <c r="C37" s="1" t="s">
        <v>13</v>
      </c>
      <c r="D37" s="4">
        <v>0</v>
      </c>
      <c r="E37" s="4">
        <v>0</v>
      </c>
      <c r="F37" s="4">
        <v>0</v>
      </c>
      <c r="G37" s="4">
        <v>0</v>
      </c>
      <c r="H37" s="4">
        <v>0</v>
      </c>
      <c r="I37" s="4">
        <v>0</v>
      </c>
      <c r="J37" s="4">
        <v>0</v>
      </c>
      <c r="K37" s="4">
        <v>0</v>
      </c>
      <c r="N37" s="1" t="s">
        <v>13</v>
      </c>
      <c r="O37" s="5">
        <v>0.83967678000000034</v>
      </c>
      <c r="P37" s="5">
        <v>1.2335992200000003</v>
      </c>
      <c r="Q37" s="5">
        <v>1.2595151700000002</v>
      </c>
      <c r="R37" s="5">
        <v>1.85039883</v>
      </c>
      <c r="S37" s="5">
        <v>1.2335992200000001</v>
      </c>
      <c r="T37" s="5">
        <v>1.81232478</v>
      </c>
      <c r="U37" s="5">
        <v>1.85039883</v>
      </c>
      <c r="V37" s="5">
        <v>2.7184871700000004</v>
      </c>
      <c r="X37">
        <v>12.798000000000002</v>
      </c>
      <c r="Y37">
        <v>0.83967678000000034</v>
      </c>
      <c r="Z37">
        <v>11.958323220000002</v>
      </c>
      <c r="AA37">
        <v>311.01973139577711</v>
      </c>
      <c r="AB37">
        <v>4.1465020606786309</v>
      </c>
      <c r="AC37" s="7"/>
    </row>
    <row r="38" spans="1:29" x14ac:dyDescent="0.25">
      <c r="A38" s="7"/>
      <c r="B38" s="4">
        <v>1.4567279555883028E-2</v>
      </c>
      <c r="C38" s="1" t="s">
        <v>14</v>
      </c>
      <c r="D38" s="4">
        <v>0</v>
      </c>
      <c r="E38" s="4">
        <v>0</v>
      </c>
      <c r="F38" s="4">
        <v>0</v>
      </c>
      <c r="G38" s="4">
        <v>0</v>
      </c>
      <c r="H38" s="4">
        <v>0</v>
      </c>
      <c r="I38" s="4">
        <v>0</v>
      </c>
      <c r="J38" s="4">
        <v>0</v>
      </c>
      <c r="K38" s="4">
        <v>0</v>
      </c>
      <c r="N38" s="1" t="s">
        <v>14</v>
      </c>
      <c r="O38" s="5">
        <v>1.2595151700000002</v>
      </c>
      <c r="P38" s="5">
        <v>1.8503988300000003</v>
      </c>
      <c r="Q38" s="5">
        <v>1.8892727550000001</v>
      </c>
      <c r="R38" s="5">
        <v>2.7755982449999999</v>
      </c>
      <c r="S38" s="5">
        <v>1.85039883</v>
      </c>
      <c r="T38" s="5">
        <v>2.71848717</v>
      </c>
      <c r="U38" s="5">
        <v>2.7755982449999999</v>
      </c>
      <c r="V38" s="5">
        <v>4.0777307549999993</v>
      </c>
      <c r="X38">
        <v>19.196999999999999</v>
      </c>
      <c r="Y38">
        <v>1.8503988300000003</v>
      </c>
      <c r="Z38">
        <v>17.34660117</v>
      </c>
      <c r="AA38">
        <v>0.39082286388246862</v>
      </c>
      <c r="AB38">
        <v>5.0360847393048909</v>
      </c>
      <c r="AC38" s="7"/>
    </row>
    <row r="39" spans="1:29" x14ac:dyDescent="0.25">
      <c r="A39" s="7"/>
      <c r="B39" s="4">
        <v>0.34208561817383565</v>
      </c>
      <c r="C39" s="1" t="s">
        <v>15</v>
      </c>
      <c r="D39" s="4">
        <v>0</v>
      </c>
      <c r="E39" s="4">
        <v>0</v>
      </c>
      <c r="F39" s="4">
        <v>0</v>
      </c>
      <c r="G39" s="4">
        <v>0</v>
      </c>
      <c r="H39" s="4">
        <v>0</v>
      </c>
      <c r="I39" s="4">
        <v>0</v>
      </c>
      <c r="J39" s="4">
        <v>0</v>
      </c>
      <c r="K39" s="4">
        <v>0</v>
      </c>
      <c r="N39" s="1" t="s">
        <v>15</v>
      </c>
      <c r="O39" s="5">
        <v>1.2860872200000004</v>
      </c>
      <c r="P39" s="5">
        <v>1.8894367800000005</v>
      </c>
      <c r="Q39" s="5">
        <v>1.9291308300000005</v>
      </c>
      <c r="R39" s="5">
        <v>2.8341551700000003</v>
      </c>
      <c r="S39" s="5">
        <v>1.8894367800000003</v>
      </c>
      <c r="T39" s="5">
        <v>2.7758392200000004</v>
      </c>
      <c r="U39" s="5">
        <v>2.8341551700000003</v>
      </c>
      <c r="V39" s="5">
        <v>4.1637588300000008</v>
      </c>
      <c r="X39">
        <v>19.602000000000004</v>
      </c>
      <c r="Y39">
        <v>1.9291308300000005</v>
      </c>
      <c r="Z39">
        <v>17.672869170000002</v>
      </c>
      <c r="AA39">
        <v>1.9291308300000005</v>
      </c>
      <c r="AB39">
        <v>1.2355495912912087</v>
      </c>
      <c r="AC39" s="7"/>
    </row>
    <row r="40" spans="1:29" x14ac:dyDescent="0.25">
      <c r="A40" s="7"/>
      <c r="B40" s="4">
        <v>5.9270281391387493E-2</v>
      </c>
      <c r="C40" s="1" t="s">
        <v>16</v>
      </c>
      <c r="D40" s="4">
        <v>0</v>
      </c>
      <c r="E40" s="4">
        <v>0</v>
      </c>
      <c r="F40" s="4">
        <v>0</v>
      </c>
      <c r="G40" s="4">
        <v>0</v>
      </c>
      <c r="H40" s="4">
        <v>0</v>
      </c>
      <c r="I40" s="4">
        <v>0</v>
      </c>
      <c r="J40" s="4">
        <v>0</v>
      </c>
      <c r="K40" s="4">
        <v>0</v>
      </c>
      <c r="N40" s="1" t="s">
        <v>16</v>
      </c>
      <c r="O40" s="5">
        <v>1.9291308300000005</v>
      </c>
      <c r="P40" s="5">
        <v>2.8341551700000007</v>
      </c>
      <c r="Q40" s="5">
        <v>2.8936962450000001</v>
      </c>
      <c r="R40" s="5">
        <v>4.2512327550000002</v>
      </c>
      <c r="S40" s="5">
        <v>2.8341551700000003</v>
      </c>
      <c r="T40" s="5">
        <v>4.1637588299999999</v>
      </c>
      <c r="U40" s="5">
        <v>4.2512327550000002</v>
      </c>
      <c r="V40" s="5">
        <v>6.2456382450000003</v>
      </c>
      <c r="X40">
        <v>29.403000000000006</v>
      </c>
      <c r="Y40">
        <v>4.2512327550000002</v>
      </c>
      <c r="Z40">
        <v>25.151767245000006</v>
      </c>
      <c r="AA40">
        <v>0.36826574723380218</v>
      </c>
      <c r="AB40">
        <v>1.055222302597089</v>
      </c>
      <c r="AC40" s="7"/>
    </row>
    <row r="41" spans="1:29" x14ac:dyDescent="0.25">
      <c r="A41" s="7"/>
      <c r="B41" s="4">
        <v>8.4076820878893871E-2</v>
      </c>
      <c r="C41" s="1" t="s">
        <v>17</v>
      </c>
      <c r="D41" s="4">
        <v>0</v>
      </c>
      <c r="E41" s="4">
        <v>0</v>
      </c>
      <c r="F41" s="4">
        <v>0</v>
      </c>
      <c r="G41" s="4">
        <v>0</v>
      </c>
      <c r="H41" s="4">
        <v>0</v>
      </c>
      <c r="I41" s="4">
        <v>0</v>
      </c>
      <c r="J41" s="4">
        <v>0</v>
      </c>
      <c r="K41" s="4">
        <v>0</v>
      </c>
      <c r="N41" s="1" t="s">
        <v>17</v>
      </c>
      <c r="O41" s="5">
        <v>1.2335992200000006</v>
      </c>
      <c r="P41" s="5">
        <v>1.8123247800000006</v>
      </c>
      <c r="Q41" s="5">
        <v>1.8503988300000003</v>
      </c>
      <c r="R41" s="5">
        <v>2.7184871700000004</v>
      </c>
      <c r="S41" s="5">
        <v>1.8123247800000002</v>
      </c>
      <c r="T41" s="5">
        <v>2.6625512200000001</v>
      </c>
      <c r="U41" s="5">
        <v>2.7184871700000004</v>
      </c>
      <c r="V41" s="5">
        <v>3.9938268300000002</v>
      </c>
      <c r="X41">
        <v>18.802000000000003</v>
      </c>
      <c r="Y41">
        <v>1.8123247800000002</v>
      </c>
      <c r="Z41">
        <v>16.989675220000002</v>
      </c>
      <c r="AA41">
        <v>1.9434699889745104E-2</v>
      </c>
      <c r="AB41">
        <v>0.9368930338553032</v>
      </c>
      <c r="AC41" s="7"/>
    </row>
    <row r="42" spans="1:29" x14ac:dyDescent="0.25">
      <c r="A42" s="7"/>
      <c r="B42" s="4">
        <v>1.4567279555883028E-2</v>
      </c>
      <c r="C42" s="1" t="s">
        <v>18</v>
      </c>
      <c r="D42" s="4">
        <v>0</v>
      </c>
      <c r="E42" s="4">
        <v>0</v>
      </c>
      <c r="F42" s="4">
        <v>0</v>
      </c>
      <c r="G42" s="4">
        <v>0</v>
      </c>
      <c r="H42" s="4">
        <v>0</v>
      </c>
      <c r="I42" s="4">
        <v>0</v>
      </c>
      <c r="J42" s="4">
        <v>0</v>
      </c>
      <c r="K42" s="4">
        <v>0</v>
      </c>
      <c r="N42" s="1" t="s">
        <v>18</v>
      </c>
      <c r="O42" s="5">
        <v>1.8503988300000003</v>
      </c>
      <c r="P42" s="5">
        <v>2.7184871700000004</v>
      </c>
      <c r="Q42" s="5">
        <v>2.7755982450000003</v>
      </c>
      <c r="R42" s="5">
        <v>4.0777307549999993</v>
      </c>
      <c r="S42" s="5">
        <v>2.7184871700000004</v>
      </c>
      <c r="T42" s="5">
        <v>3.9938268299999997</v>
      </c>
      <c r="U42" s="5">
        <v>4.0777307549999993</v>
      </c>
      <c r="V42" s="5">
        <v>5.9907402450000005</v>
      </c>
      <c r="X42">
        <v>28.202999999999999</v>
      </c>
      <c r="Y42">
        <v>3.9938268299999997</v>
      </c>
      <c r="Z42">
        <v>24.20917317</v>
      </c>
      <c r="AA42">
        <v>0.99537250793316145</v>
      </c>
      <c r="AB42">
        <v>2.1467968951311294</v>
      </c>
      <c r="AC42" s="7"/>
    </row>
    <row r="43" spans="1:29" x14ac:dyDescent="0.25">
      <c r="A43" s="7"/>
      <c r="B43" s="4">
        <v>0.34208561817383565</v>
      </c>
      <c r="C43" s="1" t="s">
        <v>19</v>
      </c>
      <c r="D43" s="4">
        <v>0</v>
      </c>
      <c r="E43" s="4">
        <v>0</v>
      </c>
      <c r="F43" s="4">
        <v>0</v>
      </c>
      <c r="G43" s="4">
        <v>0</v>
      </c>
      <c r="H43" s="4">
        <v>0</v>
      </c>
      <c r="I43" s="4">
        <v>0</v>
      </c>
      <c r="J43" s="4">
        <v>0</v>
      </c>
      <c r="K43" s="4">
        <v>0</v>
      </c>
      <c r="N43" s="1" t="s">
        <v>19</v>
      </c>
      <c r="O43" s="5">
        <v>1.8894367800000005</v>
      </c>
      <c r="P43" s="5">
        <v>2.7758392200000004</v>
      </c>
      <c r="Q43" s="5">
        <v>2.8341551700000003</v>
      </c>
      <c r="R43" s="5">
        <v>4.1637588299999999</v>
      </c>
      <c r="S43" s="5">
        <v>2.7758392200000004</v>
      </c>
      <c r="T43" s="5">
        <v>4.0780847800000002</v>
      </c>
      <c r="U43" s="5">
        <v>4.1637588299999999</v>
      </c>
      <c r="V43" s="5">
        <v>6.1171271699999998</v>
      </c>
      <c r="X43">
        <v>28.797999999999998</v>
      </c>
      <c r="Y43">
        <v>4.1637588299999999</v>
      </c>
      <c r="Z43">
        <v>24.634241169999999</v>
      </c>
      <c r="AA43">
        <v>1.124429263450633</v>
      </c>
      <c r="AB43">
        <v>4.590646185580189</v>
      </c>
      <c r="AC43" s="7"/>
    </row>
    <row r="44" spans="1:29" x14ac:dyDescent="0.25">
      <c r="A44" s="7"/>
      <c r="B44" s="4">
        <v>5.9270281391387493E-2</v>
      </c>
      <c r="C44" s="1" t="s">
        <v>20</v>
      </c>
      <c r="D44" s="4">
        <v>0</v>
      </c>
      <c r="E44" s="4">
        <v>0</v>
      </c>
      <c r="F44" s="4">
        <v>0</v>
      </c>
      <c r="G44" s="4">
        <v>0</v>
      </c>
      <c r="H44" s="4">
        <v>0</v>
      </c>
      <c r="I44" s="4">
        <v>0</v>
      </c>
      <c r="J44" s="4">
        <v>0</v>
      </c>
      <c r="K44" s="4">
        <v>0</v>
      </c>
      <c r="N44" s="1" t="s">
        <v>20</v>
      </c>
      <c r="O44" s="5">
        <v>2.8341551700000007</v>
      </c>
      <c r="P44" s="5">
        <v>4.1637588300000008</v>
      </c>
      <c r="Q44" s="5">
        <v>4.2512327550000002</v>
      </c>
      <c r="R44" s="5">
        <v>6.2456382449999994</v>
      </c>
      <c r="S44" s="5">
        <v>4.1637588299999999</v>
      </c>
      <c r="T44" s="5">
        <v>6.1171271699999989</v>
      </c>
      <c r="U44" s="5">
        <v>6.2456382449999994</v>
      </c>
      <c r="V44" s="5">
        <v>9.175690754999998</v>
      </c>
      <c r="X44">
        <v>43.196999999999996</v>
      </c>
      <c r="Y44">
        <v>9.175690754999998</v>
      </c>
      <c r="Z44">
        <v>34.021309244999998</v>
      </c>
      <c r="AA44">
        <v>78.418463054598959</v>
      </c>
      <c r="AB44">
        <v>3.0659389572897232E-2</v>
      </c>
      <c r="AC44" s="7"/>
    </row>
    <row r="45" spans="1:29" x14ac:dyDescent="0.25">
      <c r="A45" s="7"/>
      <c r="X45" s="9">
        <v>200.00000000000003</v>
      </c>
      <c r="Y45" s="9">
        <v>28.016040390000001</v>
      </c>
      <c r="Z45" s="9">
        <v>171.98395961000003</v>
      </c>
      <c r="AA45" s="9">
        <v>394.26565036276588</v>
      </c>
      <c r="AB45" s="9">
        <v>19.178354198011341</v>
      </c>
      <c r="AC45" s="7"/>
    </row>
    <row r="46" spans="1:29" x14ac:dyDescent="0.25">
      <c r="A46" s="7"/>
      <c r="C46" s="1" t="s">
        <v>28</v>
      </c>
      <c r="D46" s="4">
        <v>9.6731543768885687E-3</v>
      </c>
      <c r="E46" s="4">
        <v>5.5829783780808981E-2</v>
      </c>
      <c r="F46" s="4">
        <v>3.9357422891563597E-2</v>
      </c>
      <c r="G46" s="4">
        <v>0.2271561400338819</v>
      </c>
      <c r="H46" s="4">
        <v>9.6731543768885687E-3</v>
      </c>
      <c r="I46" s="4">
        <v>5.5829783780808981E-2</v>
      </c>
      <c r="J46" s="4">
        <v>3.9357422891563597E-2</v>
      </c>
      <c r="K46" s="4">
        <v>0.2271561400338819</v>
      </c>
      <c r="P46" t="s">
        <v>70</v>
      </c>
      <c r="AB46" s="22">
        <v>413.44400456077722</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1.4567279555883028E-2</v>
      </c>
      <c r="C48" s="1" t="s">
        <v>13</v>
      </c>
      <c r="D48" s="4">
        <v>1.4091154399534928E-4</v>
      </c>
      <c r="E48" s="4">
        <v>8.1328806787954856E-4</v>
      </c>
      <c r="F48" s="4">
        <v>5.7333058186051706E-4</v>
      </c>
      <c r="G48" s="4">
        <v>3.3090469947088699E-3</v>
      </c>
      <c r="H48" s="4">
        <v>1.4091154399534928E-4</v>
      </c>
      <c r="I48" s="4">
        <v>8.1328806787954856E-4</v>
      </c>
      <c r="J48" s="4">
        <v>5.7333058186051706E-4</v>
      </c>
      <c r="K48" s="4">
        <v>3.3090469947088699E-3</v>
      </c>
      <c r="N48" s="1" t="s">
        <v>13</v>
      </c>
      <c r="O48">
        <v>311.01973139577711</v>
      </c>
      <c r="P48">
        <v>2.5293236774133225</v>
      </c>
      <c r="Q48">
        <v>5.9628159170644421</v>
      </c>
      <c r="R48">
        <v>0.39082286388246851</v>
      </c>
      <c r="S48">
        <v>18.416497049653294</v>
      </c>
      <c r="T48">
        <v>0.36410225997243623</v>
      </c>
      <c r="U48">
        <v>1.2094965529873842E-2</v>
      </c>
      <c r="V48">
        <v>0.18989378325983028</v>
      </c>
      <c r="W48" s="7">
        <v>338.88528191255278</v>
      </c>
      <c r="Z48" t="s">
        <v>67</v>
      </c>
      <c r="AC48" s="7"/>
    </row>
    <row r="49" spans="1:29" x14ac:dyDescent="0.25">
      <c r="A49" s="7"/>
      <c r="B49" s="4">
        <v>8.4076820878893871E-2</v>
      </c>
      <c r="C49" s="1" t="s">
        <v>14</v>
      </c>
      <c r="D49" s="4">
        <v>8.1328806787954845E-4</v>
      </c>
      <c r="E49" s="4">
        <v>4.6939907306464508E-3</v>
      </c>
      <c r="F49" s="4">
        <v>3.3090469947088699E-3</v>
      </c>
      <c r="G49" s="4">
        <v>1.909856609716962E-2</v>
      </c>
      <c r="H49" s="4">
        <v>8.1328806787954845E-4</v>
      </c>
      <c r="I49" s="4">
        <v>4.6939907306464508E-3</v>
      </c>
      <c r="J49" s="4">
        <v>3.3090469947088699E-3</v>
      </c>
      <c r="K49" s="4">
        <v>1.909856609716962E-2</v>
      </c>
      <c r="N49" s="1" t="s">
        <v>14</v>
      </c>
      <c r="O49">
        <v>2.4051218402237486</v>
      </c>
      <c r="P49">
        <v>0.39082286388246862</v>
      </c>
      <c r="Q49">
        <v>0.41857695279435192</v>
      </c>
      <c r="R49">
        <v>1.1358809342549789</v>
      </c>
      <c r="S49">
        <v>0.39082286388246851</v>
      </c>
      <c r="T49">
        <v>1.0863388233149573</v>
      </c>
      <c r="U49">
        <v>2.7755982449999999</v>
      </c>
      <c r="V49">
        <v>2.3229651905433042</v>
      </c>
      <c r="W49" s="7">
        <v>10.926127713896278</v>
      </c>
      <c r="Z49" t="s">
        <v>69</v>
      </c>
      <c r="AB49">
        <v>12</v>
      </c>
      <c r="AC49" s="7"/>
    </row>
    <row r="50" spans="1:29" x14ac:dyDescent="0.25">
      <c r="A50" s="7"/>
      <c r="B50" s="4">
        <v>5.9270281391387493E-2</v>
      </c>
      <c r="C50" s="1" t="s">
        <v>15</v>
      </c>
      <c r="D50" s="4">
        <v>5.7333058186051706E-4</v>
      </c>
      <c r="E50" s="4">
        <v>3.3090469947088699E-3</v>
      </c>
      <c r="F50" s="4">
        <v>2.3327255296228099E-3</v>
      </c>
      <c r="G50" s="4">
        <v>1.3463608339589601E-2</v>
      </c>
      <c r="H50" s="4">
        <v>5.7333058186051706E-4</v>
      </c>
      <c r="I50" s="4">
        <v>3.3090469947088699E-3</v>
      </c>
      <c r="J50" s="4">
        <v>2.3327255296228099E-3</v>
      </c>
      <c r="K50" s="4">
        <v>1.3463608339589601E-2</v>
      </c>
      <c r="N50" s="1" t="s">
        <v>15</v>
      </c>
      <c r="O50">
        <v>10.724893244369008</v>
      </c>
      <c r="P50">
        <v>0.41869502805845088</v>
      </c>
      <c r="Q50">
        <v>1.9291308300000005</v>
      </c>
      <c r="R50">
        <v>1.1869940020389673</v>
      </c>
      <c r="S50">
        <v>6.4697722338020441E-3</v>
      </c>
      <c r="T50">
        <v>1.1360906325439877</v>
      </c>
      <c r="U50">
        <v>1.1869940020389673</v>
      </c>
      <c r="V50">
        <v>1.1244292634506334</v>
      </c>
      <c r="W50" s="7">
        <v>17.713696774733815</v>
      </c>
      <c r="AC50" s="7"/>
    </row>
    <row r="51" spans="1:29" x14ac:dyDescent="0.25">
      <c r="A51" s="7"/>
      <c r="B51" s="4">
        <v>0.34208561817383565</v>
      </c>
      <c r="C51" s="1" t="s">
        <v>16</v>
      </c>
      <c r="D51" s="4">
        <v>3.3090469947088699E-3</v>
      </c>
      <c r="E51" s="4">
        <v>1.9098566097169624E-2</v>
      </c>
      <c r="F51" s="4">
        <v>1.3463608339589603E-2</v>
      </c>
      <c r="G51" s="4">
        <v>7.7706848585472874E-2</v>
      </c>
      <c r="H51" s="4">
        <v>3.3090469947088699E-3</v>
      </c>
      <c r="I51" s="4">
        <v>1.9098566097169624E-2</v>
      </c>
      <c r="J51" s="4">
        <v>1.3463608339589603E-2</v>
      </c>
      <c r="K51" s="4">
        <v>7.7706848585472874E-2</v>
      </c>
      <c r="N51" s="1" t="s">
        <v>16</v>
      </c>
      <c r="O51">
        <v>0.44749899064984078</v>
      </c>
      <c r="P51">
        <v>1.1869940020389678</v>
      </c>
      <c r="Q51">
        <v>1.2392750187665604</v>
      </c>
      <c r="R51">
        <v>0.36826574723380218</v>
      </c>
      <c r="S51">
        <v>1.1869940020389673</v>
      </c>
      <c r="T51">
        <v>0.32526730526392389</v>
      </c>
      <c r="U51">
        <v>1.1921363071039122</v>
      </c>
      <c r="V51">
        <v>3.6191586529210955</v>
      </c>
      <c r="W51" s="7">
        <v>9.5655900260170696</v>
      </c>
      <c r="AC51" s="7"/>
    </row>
    <row r="52" spans="1:29" x14ac:dyDescent="0.25">
      <c r="A52" s="7"/>
      <c r="B52" s="4">
        <v>1.4567279555883028E-2</v>
      </c>
      <c r="C52" s="1" t="s">
        <v>17</v>
      </c>
      <c r="D52" s="4">
        <v>1.4091154399534928E-4</v>
      </c>
      <c r="E52" s="4">
        <v>8.1328806787954856E-4</v>
      </c>
      <c r="F52" s="4">
        <v>5.7333058186051706E-4</v>
      </c>
      <c r="G52" s="4">
        <v>3.3090469947088699E-3</v>
      </c>
      <c r="H52" s="4">
        <v>1.4091154399534928E-4</v>
      </c>
      <c r="I52" s="4">
        <v>8.1328806787954856E-4</v>
      </c>
      <c r="J52" s="4">
        <v>5.7333058186051706E-4</v>
      </c>
      <c r="K52" s="4">
        <v>3.3090469947088699E-3</v>
      </c>
      <c r="N52" s="1" t="s">
        <v>17</v>
      </c>
      <c r="O52">
        <v>18.416497049653287</v>
      </c>
      <c r="P52">
        <v>0.36410225997243673</v>
      </c>
      <c r="Q52">
        <v>1.2094965529873802E-2</v>
      </c>
      <c r="R52">
        <v>1.0863388233149578</v>
      </c>
      <c r="S52">
        <v>1.9434699889745104E-2</v>
      </c>
      <c r="T52">
        <v>2.6625512200000001</v>
      </c>
      <c r="U52">
        <v>1.0863388233149578</v>
      </c>
      <c r="V52">
        <v>0.99537250793316179</v>
      </c>
      <c r="W52" s="7">
        <v>24.642730349608421</v>
      </c>
      <c r="AC52" s="7"/>
    </row>
    <row r="53" spans="1:29" x14ac:dyDescent="0.25">
      <c r="A53" s="7"/>
      <c r="B53" s="4">
        <v>8.4076820878893871E-2</v>
      </c>
      <c r="C53" s="1" t="s">
        <v>18</v>
      </c>
      <c r="D53" s="4">
        <v>8.1328806787954845E-4</v>
      </c>
      <c r="E53" s="4">
        <v>4.6939907306464508E-3</v>
      </c>
      <c r="F53" s="4">
        <v>3.3090469947088699E-3</v>
      </c>
      <c r="G53" s="4">
        <v>1.909856609716962E-2</v>
      </c>
      <c r="H53" s="4">
        <v>8.1328806787954845E-4</v>
      </c>
      <c r="I53" s="4">
        <v>4.6939907306464508E-3</v>
      </c>
      <c r="J53" s="4">
        <v>3.3090469947088699E-3</v>
      </c>
      <c r="K53" s="4">
        <v>1.909856609716962E-2</v>
      </c>
      <c r="N53" s="1" t="s">
        <v>18</v>
      </c>
      <c r="O53">
        <v>0.39082286388246862</v>
      </c>
      <c r="P53">
        <v>1.0863388233149578</v>
      </c>
      <c r="Q53">
        <v>1.1358809342549792</v>
      </c>
      <c r="R53">
        <v>0.28484067488974479</v>
      </c>
      <c r="S53">
        <v>1.0863388233149578</v>
      </c>
      <c r="T53">
        <v>0.99537250793316145</v>
      </c>
      <c r="U53">
        <v>1.0586684971732196</v>
      </c>
      <c r="V53">
        <v>0.67389414295372396</v>
      </c>
      <c r="W53" s="7">
        <v>6.7121572677172141</v>
      </c>
      <c r="AC53" s="7"/>
    </row>
    <row r="54" spans="1:29" x14ac:dyDescent="0.25">
      <c r="A54" s="7"/>
      <c r="B54" s="4">
        <v>5.9270281391387493E-2</v>
      </c>
      <c r="C54" s="1" t="s">
        <v>19</v>
      </c>
      <c r="D54" s="4">
        <v>5.7333058186051706E-4</v>
      </c>
      <c r="E54" s="4">
        <v>3.3090469947088699E-3</v>
      </c>
      <c r="F54" s="4">
        <v>2.3327255296228099E-3</v>
      </c>
      <c r="G54" s="4">
        <v>1.3463608339589601E-2</v>
      </c>
      <c r="H54" s="4">
        <v>5.7333058186051706E-4</v>
      </c>
      <c r="I54" s="4">
        <v>3.3090469947088699E-3</v>
      </c>
      <c r="J54" s="4">
        <v>2.3327255296228099E-3</v>
      </c>
      <c r="K54" s="4">
        <v>1.3463608339589601E-2</v>
      </c>
      <c r="N54" s="1" t="s">
        <v>19</v>
      </c>
      <c r="O54">
        <v>6.4697722338020163E-3</v>
      </c>
      <c r="P54">
        <v>2.7758392200000004</v>
      </c>
      <c r="Q54">
        <v>1.1869940020389673</v>
      </c>
      <c r="R54">
        <v>1.124429263450633</v>
      </c>
      <c r="S54">
        <v>1.1360906325439877</v>
      </c>
      <c r="T54">
        <v>1.0589373654138816</v>
      </c>
      <c r="U54">
        <v>1.124429263450633</v>
      </c>
      <c r="V54">
        <v>2.2426824832887794E-3</v>
      </c>
      <c r="W54" s="7">
        <v>8.415432201615193</v>
      </c>
      <c r="AC54" s="7"/>
    </row>
    <row r="55" spans="1:29" x14ac:dyDescent="0.25">
      <c r="A55" s="7"/>
      <c r="B55" s="4">
        <v>0.34208561817383565</v>
      </c>
      <c r="C55" s="1" t="s">
        <v>20</v>
      </c>
      <c r="D55" s="4">
        <v>3.3090469947088699E-3</v>
      </c>
      <c r="E55" s="4">
        <v>1.9098566097169624E-2</v>
      </c>
      <c r="F55" s="4">
        <v>1.3463608339589603E-2</v>
      </c>
      <c r="G55" s="4">
        <v>7.7706848585472874E-2</v>
      </c>
      <c r="H55" s="4">
        <v>3.3090469947088699E-3</v>
      </c>
      <c r="I55" s="4">
        <v>1.9098566097169624E-2</v>
      </c>
      <c r="J55" s="4">
        <v>1.3463608339589603E-2</v>
      </c>
      <c r="K55" s="4">
        <v>7.7706848585472874E-2</v>
      </c>
      <c r="N55" s="1" t="s">
        <v>20</v>
      </c>
      <c r="O55">
        <v>1.1869940020389678</v>
      </c>
      <c r="P55">
        <v>2.4039264383626588</v>
      </c>
      <c r="Q55">
        <v>0.36826574723380218</v>
      </c>
      <c r="R55">
        <v>3.6191586529210977</v>
      </c>
      <c r="S55">
        <v>1.124429263450633</v>
      </c>
      <c r="T55">
        <v>1.3586370730874009</v>
      </c>
      <c r="U55">
        <v>9.6608457037972023E-3</v>
      </c>
      <c r="V55">
        <v>78.418463054598959</v>
      </c>
      <c r="W55" s="7">
        <v>88.489535077397321</v>
      </c>
      <c r="AC55" s="7"/>
    </row>
    <row r="56" spans="1:29" x14ac:dyDescent="0.25">
      <c r="A56" s="7"/>
      <c r="O56" s="7">
        <v>344.59802915882818</v>
      </c>
      <c r="P56" s="7">
        <v>11.156042313043264</v>
      </c>
      <c r="Q56" s="7">
        <v>12.253034367682979</v>
      </c>
      <c r="R56" s="7">
        <v>9.1967309619866509</v>
      </c>
      <c r="S56" s="7">
        <v>23.367077107007859</v>
      </c>
      <c r="T56" s="7">
        <v>8.987297187529748</v>
      </c>
      <c r="U56" s="7">
        <v>8.4459209493153615</v>
      </c>
      <c r="V56" s="7">
        <v>87.346419278143998</v>
      </c>
      <c r="W56" s="22">
        <v>505.35055132353796</v>
      </c>
      <c r="X56" t="s">
        <v>64</v>
      </c>
      <c r="AC56" s="7"/>
    </row>
    <row r="57" spans="1:29" x14ac:dyDescent="0.25">
      <c r="A57" s="7"/>
      <c r="C57" s="1" t="s">
        <v>29</v>
      </c>
      <c r="D57" s="4">
        <v>0.11347623795925878</v>
      </c>
      <c r="E57" s="4">
        <v>1.9661067866534866E-2</v>
      </c>
      <c r="F57" s="4">
        <v>2.7889863899695094E-2</v>
      </c>
      <c r="G57" s="4">
        <v>4.8322408002034519E-3</v>
      </c>
      <c r="H57" s="4">
        <v>0.11347623795925878</v>
      </c>
      <c r="I57" s="4">
        <v>1.9661067866534866E-2</v>
      </c>
      <c r="J57" s="4">
        <v>2.7889863899695094E-2</v>
      </c>
      <c r="K57" s="4">
        <v>4.8322408002034519E-3</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0.34208561817383565</v>
      </c>
      <c r="C59" s="1" t="s">
        <v>13</v>
      </c>
      <c r="D59" s="4">
        <v>3.881858901033431E-2</v>
      </c>
      <c r="E59" s="4">
        <v>6.7257685550813151E-3</v>
      </c>
      <c r="F59" s="4">
        <v>9.5407213329113394E-3</v>
      </c>
      <c r="G59" s="4">
        <v>1.653040081302428E-3</v>
      </c>
      <c r="H59" s="4">
        <v>3.881858901033431E-2</v>
      </c>
      <c r="I59" s="4">
        <v>6.7257685550813151E-3</v>
      </c>
      <c r="J59" s="4">
        <v>9.5407213329113394E-3</v>
      </c>
      <c r="K59" s="4">
        <v>1.653040081302428E-3</v>
      </c>
      <c r="AC59" s="7"/>
    </row>
    <row r="60" spans="1:29" x14ac:dyDescent="0.25">
      <c r="A60" s="7"/>
      <c r="B60" s="4">
        <v>5.9270281391387493E-2</v>
      </c>
      <c r="C60" s="1" t="s">
        <v>14</v>
      </c>
      <c r="D60" s="4">
        <v>6.7257685550813143E-3</v>
      </c>
      <c r="E60" s="4">
        <v>1.165317024904688E-3</v>
      </c>
      <c r="F60" s="4">
        <v>1.6530400813024278E-3</v>
      </c>
      <c r="G60" s="4">
        <v>2.8640827197900208E-4</v>
      </c>
      <c r="H60" s="4">
        <v>6.7257685550813143E-3</v>
      </c>
      <c r="I60" s="4">
        <v>1.165317024904688E-3</v>
      </c>
      <c r="J60" s="4">
        <v>1.6530400813024278E-3</v>
      </c>
      <c r="K60" s="4">
        <v>2.8640827197900208E-4</v>
      </c>
      <c r="O60" s="23"/>
      <c r="P60" s="23"/>
      <c r="Q60" s="23"/>
      <c r="R60" s="23"/>
      <c r="S60" s="23"/>
      <c r="T60" s="23"/>
      <c r="U60" s="23"/>
      <c r="V60" s="23"/>
      <c r="AC60" s="7"/>
    </row>
    <row r="61" spans="1:29" x14ac:dyDescent="0.25">
      <c r="A61" s="7"/>
      <c r="B61" s="4">
        <v>8.4076820878893871E-2</v>
      </c>
      <c r="C61" s="1" t="s">
        <v>15</v>
      </c>
      <c r="D61" s="4">
        <v>9.5407213329113377E-3</v>
      </c>
      <c r="E61" s="4">
        <v>1.653040081302428E-3</v>
      </c>
      <c r="F61" s="4">
        <v>2.3448910914313928E-3</v>
      </c>
      <c r="G61" s="4">
        <v>4.0627944420238842E-4</v>
      </c>
      <c r="H61" s="4">
        <v>9.5407213329113377E-3</v>
      </c>
      <c r="I61" s="4">
        <v>1.653040081302428E-3</v>
      </c>
      <c r="J61" s="4">
        <v>2.3448910914313928E-3</v>
      </c>
      <c r="K61" s="4">
        <v>4.0627944420238842E-4</v>
      </c>
      <c r="O61" s="23"/>
      <c r="P61" s="23"/>
      <c r="Q61" s="23"/>
      <c r="R61" s="23"/>
      <c r="S61" s="23"/>
      <c r="T61" s="23"/>
      <c r="U61" s="23"/>
      <c r="V61" s="23"/>
      <c r="AC61" s="7"/>
    </row>
    <row r="62" spans="1:29" x14ac:dyDescent="0.25">
      <c r="A62" s="7"/>
      <c r="B62" s="4">
        <v>1.4567279555883028E-2</v>
      </c>
      <c r="C62" s="1" t="s">
        <v>16</v>
      </c>
      <c r="D62" s="4">
        <v>1.653040081302428E-3</v>
      </c>
      <c r="E62" s="4">
        <v>2.8640827197900208E-4</v>
      </c>
      <c r="F62" s="4">
        <v>4.0627944420238842E-4</v>
      </c>
      <c r="G62" s="4">
        <v>7.0392602617907587E-5</v>
      </c>
      <c r="H62" s="4">
        <v>1.653040081302428E-3</v>
      </c>
      <c r="I62" s="4">
        <v>2.8640827197900208E-4</v>
      </c>
      <c r="J62" s="4">
        <v>4.0627944420238842E-4</v>
      </c>
      <c r="K62" s="4">
        <v>7.0392602617907587E-5</v>
      </c>
      <c r="O62" s="23"/>
      <c r="P62" s="23"/>
      <c r="Q62" s="23"/>
      <c r="R62" s="23"/>
      <c r="S62" s="23"/>
      <c r="T62" s="23"/>
      <c r="U62" s="23"/>
      <c r="V62" s="23"/>
      <c r="AC62" s="7"/>
    </row>
    <row r="63" spans="1:29" x14ac:dyDescent="0.25">
      <c r="A63" s="7"/>
      <c r="B63" s="4">
        <v>0.34208561817383565</v>
      </c>
      <c r="C63" s="1" t="s">
        <v>17</v>
      </c>
      <c r="D63" s="4">
        <v>3.881858901033431E-2</v>
      </c>
      <c r="E63" s="4">
        <v>6.7257685550813151E-3</v>
      </c>
      <c r="F63" s="4">
        <v>9.5407213329113394E-3</v>
      </c>
      <c r="G63" s="4">
        <v>1.653040081302428E-3</v>
      </c>
      <c r="H63" s="4">
        <v>3.881858901033431E-2</v>
      </c>
      <c r="I63" s="4">
        <v>6.7257685550813151E-3</v>
      </c>
      <c r="J63" s="4">
        <v>9.5407213329113394E-3</v>
      </c>
      <c r="K63" s="4">
        <v>1.653040081302428E-3</v>
      </c>
      <c r="O63" s="23"/>
      <c r="P63" s="23"/>
      <c r="Q63" s="23"/>
      <c r="R63" s="23"/>
      <c r="S63" s="23"/>
      <c r="T63" s="23"/>
      <c r="U63" s="23"/>
      <c r="V63" s="23"/>
      <c r="AC63" s="7"/>
    </row>
    <row r="64" spans="1:29" x14ac:dyDescent="0.25">
      <c r="A64" s="7"/>
      <c r="B64" s="4">
        <v>5.9270281391387493E-2</v>
      </c>
      <c r="C64" s="1" t="s">
        <v>18</v>
      </c>
      <c r="D64" s="4">
        <v>6.7257685550813143E-3</v>
      </c>
      <c r="E64" s="4">
        <v>1.165317024904688E-3</v>
      </c>
      <c r="F64" s="4">
        <v>1.6530400813024278E-3</v>
      </c>
      <c r="G64" s="4">
        <v>2.8640827197900208E-4</v>
      </c>
      <c r="H64" s="4">
        <v>6.7257685550813143E-3</v>
      </c>
      <c r="I64" s="4">
        <v>1.165317024904688E-3</v>
      </c>
      <c r="J64" s="4">
        <v>1.6530400813024278E-3</v>
      </c>
      <c r="K64" s="4">
        <v>2.8640827197900208E-4</v>
      </c>
      <c r="O64" s="23"/>
      <c r="P64" s="23"/>
      <c r="Q64" s="23"/>
      <c r="R64" s="23"/>
      <c r="S64" s="23"/>
      <c r="T64" s="23"/>
      <c r="U64" s="23"/>
      <c r="V64" s="23"/>
      <c r="AC64" s="7"/>
    </row>
    <row r="65" spans="1:29" x14ac:dyDescent="0.25">
      <c r="A65" s="7"/>
      <c r="B65" s="4">
        <v>8.4076820878893871E-2</v>
      </c>
      <c r="C65" s="1" t="s">
        <v>19</v>
      </c>
      <c r="D65" s="4">
        <v>9.5407213329113377E-3</v>
      </c>
      <c r="E65" s="4">
        <v>1.653040081302428E-3</v>
      </c>
      <c r="F65" s="4">
        <v>2.3448910914313928E-3</v>
      </c>
      <c r="G65" s="4">
        <v>4.0627944420238842E-4</v>
      </c>
      <c r="H65" s="4">
        <v>9.5407213329113377E-3</v>
      </c>
      <c r="I65" s="4">
        <v>1.653040081302428E-3</v>
      </c>
      <c r="J65" s="4">
        <v>2.3448910914313928E-3</v>
      </c>
      <c r="K65" s="4">
        <v>4.0627944420238842E-4</v>
      </c>
      <c r="O65" s="23"/>
      <c r="P65" s="23"/>
      <c r="Q65" s="23"/>
      <c r="R65" s="23"/>
      <c r="S65" s="23"/>
      <c r="T65" s="23"/>
      <c r="U65" s="23"/>
      <c r="V65" s="23"/>
      <c r="AC65" s="7"/>
    </row>
    <row r="66" spans="1:29" x14ac:dyDescent="0.25">
      <c r="A66" s="7"/>
      <c r="B66" s="4">
        <v>1.4567279555883028E-2</v>
      </c>
      <c r="C66" s="1" t="s">
        <v>20</v>
      </c>
      <c r="D66" s="4">
        <v>1.653040081302428E-3</v>
      </c>
      <c r="E66" s="4">
        <v>2.8640827197900208E-4</v>
      </c>
      <c r="F66" s="4">
        <v>4.0627944420238842E-4</v>
      </c>
      <c r="G66" s="4">
        <v>7.0392602617907587E-5</v>
      </c>
      <c r="H66" s="4">
        <v>1.653040081302428E-3</v>
      </c>
      <c r="I66" s="4">
        <v>2.8640827197900208E-4</v>
      </c>
      <c r="J66" s="4">
        <v>4.0627944420238842E-4</v>
      </c>
      <c r="K66" s="4">
        <v>7.0392602617907587E-5</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0</v>
      </c>
      <c r="E68" s="4">
        <v>0</v>
      </c>
      <c r="F68" s="4">
        <v>0</v>
      </c>
      <c r="G68" s="4">
        <v>0</v>
      </c>
      <c r="H68" s="4">
        <v>0</v>
      </c>
      <c r="I68" s="4">
        <v>0</v>
      </c>
      <c r="J68" s="4">
        <v>0</v>
      </c>
      <c r="K68" s="4">
        <v>0</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5.9270281391387493E-2</v>
      </c>
      <c r="C70" s="1" t="s">
        <v>13</v>
      </c>
      <c r="D70" s="4">
        <v>0</v>
      </c>
      <c r="E70" s="4">
        <v>0</v>
      </c>
      <c r="F70" s="4">
        <v>0</v>
      </c>
      <c r="G70" s="4">
        <v>0</v>
      </c>
      <c r="H70" s="4">
        <v>0</v>
      </c>
      <c r="I70" s="4">
        <v>0</v>
      </c>
      <c r="J70" s="4">
        <v>0</v>
      </c>
      <c r="K70" s="4">
        <v>0</v>
      </c>
      <c r="AC70" s="7"/>
    </row>
    <row r="71" spans="1:29" x14ac:dyDescent="0.25">
      <c r="A71" s="7"/>
      <c r="B71" s="4">
        <v>0.34208561817383565</v>
      </c>
      <c r="C71" s="1" t="s">
        <v>14</v>
      </c>
      <c r="D71" s="4">
        <v>0</v>
      </c>
      <c r="E71" s="4">
        <v>0</v>
      </c>
      <c r="F71" s="4">
        <v>0</v>
      </c>
      <c r="G71" s="4">
        <v>0</v>
      </c>
      <c r="H71" s="4">
        <v>0</v>
      </c>
      <c r="I71" s="4">
        <v>0</v>
      </c>
      <c r="J71" s="4">
        <v>0</v>
      </c>
      <c r="K71" s="4">
        <v>0</v>
      </c>
      <c r="AC71" s="7"/>
    </row>
    <row r="72" spans="1:29" x14ac:dyDescent="0.25">
      <c r="A72" s="7"/>
      <c r="B72" s="4">
        <v>1.4567279555883028E-2</v>
      </c>
      <c r="C72" s="1" t="s">
        <v>15</v>
      </c>
      <c r="D72" s="4">
        <v>0</v>
      </c>
      <c r="E72" s="4">
        <v>0</v>
      </c>
      <c r="F72" s="4">
        <v>0</v>
      </c>
      <c r="G72" s="4">
        <v>0</v>
      </c>
      <c r="H72" s="4">
        <v>0</v>
      </c>
      <c r="I72" s="4">
        <v>0</v>
      </c>
      <c r="J72" s="4">
        <v>0</v>
      </c>
      <c r="K72" s="4">
        <v>0</v>
      </c>
      <c r="AC72" s="7"/>
    </row>
    <row r="73" spans="1:29" x14ac:dyDescent="0.25">
      <c r="A73" s="7"/>
      <c r="B73" s="4">
        <v>8.4076820878893871E-2</v>
      </c>
      <c r="C73" s="1" t="s">
        <v>16</v>
      </c>
      <c r="D73" s="4">
        <v>0</v>
      </c>
      <c r="E73" s="4">
        <v>0</v>
      </c>
      <c r="F73" s="4">
        <v>0</v>
      </c>
      <c r="G73" s="4">
        <v>0</v>
      </c>
      <c r="H73" s="4">
        <v>0</v>
      </c>
      <c r="I73" s="4">
        <v>0</v>
      </c>
      <c r="J73" s="4">
        <v>0</v>
      </c>
      <c r="K73" s="4">
        <v>0</v>
      </c>
      <c r="AC73" s="7"/>
    </row>
    <row r="74" spans="1:29" x14ac:dyDescent="0.25">
      <c r="A74" s="7"/>
      <c r="B74" s="4">
        <v>5.9270281391387493E-2</v>
      </c>
      <c r="C74" s="1" t="s">
        <v>17</v>
      </c>
      <c r="D74" s="4">
        <v>0</v>
      </c>
      <c r="E74" s="4">
        <v>0</v>
      </c>
      <c r="F74" s="4">
        <v>0</v>
      </c>
      <c r="G74" s="4">
        <v>0</v>
      </c>
      <c r="H74" s="4">
        <v>0</v>
      </c>
      <c r="I74" s="4">
        <v>0</v>
      </c>
      <c r="J74" s="4">
        <v>0</v>
      </c>
      <c r="K74" s="4">
        <v>0</v>
      </c>
      <c r="AC74" s="7"/>
    </row>
    <row r="75" spans="1:29" x14ac:dyDescent="0.25">
      <c r="A75" s="7"/>
      <c r="B75" s="4">
        <v>0.34208561817383565</v>
      </c>
      <c r="C75" s="1" t="s">
        <v>18</v>
      </c>
      <c r="D75" s="4">
        <v>0</v>
      </c>
      <c r="E75" s="4">
        <v>0</v>
      </c>
      <c r="F75" s="4">
        <v>0</v>
      </c>
      <c r="G75" s="4">
        <v>0</v>
      </c>
      <c r="H75" s="4">
        <v>0</v>
      </c>
      <c r="I75" s="4">
        <v>0</v>
      </c>
      <c r="J75" s="4">
        <v>0</v>
      </c>
      <c r="K75" s="4">
        <v>0</v>
      </c>
      <c r="AC75" s="7"/>
    </row>
    <row r="76" spans="1:29" x14ac:dyDescent="0.25">
      <c r="A76" s="7"/>
      <c r="B76" s="4">
        <v>1.4567279555883028E-2</v>
      </c>
      <c r="C76" s="1" t="s">
        <v>19</v>
      </c>
      <c r="D76" s="4">
        <v>0</v>
      </c>
      <c r="E76" s="4">
        <v>0</v>
      </c>
      <c r="F76" s="4">
        <v>0</v>
      </c>
      <c r="G76" s="4">
        <v>0</v>
      </c>
      <c r="H76" s="4">
        <v>0</v>
      </c>
      <c r="I76" s="4">
        <v>0</v>
      </c>
      <c r="J76" s="4">
        <v>0</v>
      </c>
      <c r="K76" s="4">
        <v>0</v>
      </c>
      <c r="AC76" s="7"/>
    </row>
    <row r="77" spans="1:29" x14ac:dyDescent="0.25">
      <c r="A77" s="7"/>
      <c r="B77" s="4">
        <v>8.4076820878893871E-2</v>
      </c>
      <c r="C77" s="1" t="s">
        <v>20</v>
      </c>
      <c r="D77" s="4">
        <v>0</v>
      </c>
      <c r="E77" s="4">
        <v>0</v>
      </c>
      <c r="F77" s="4">
        <v>0</v>
      </c>
      <c r="G77" s="4">
        <v>0</v>
      </c>
      <c r="H77" s="4">
        <v>0</v>
      </c>
      <c r="I77" s="4">
        <v>0</v>
      </c>
      <c r="J77" s="4">
        <v>0</v>
      </c>
      <c r="K77" s="4">
        <v>0</v>
      </c>
      <c r="AC77" s="7"/>
    </row>
    <row r="78" spans="1:29" x14ac:dyDescent="0.25">
      <c r="A78" s="7"/>
      <c r="AC78" s="7"/>
    </row>
    <row r="79" spans="1:29" x14ac:dyDescent="0.25">
      <c r="A79" s="7"/>
      <c r="C79" s="1" t="s">
        <v>31</v>
      </c>
      <c r="D79" s="4">
        <v>3.5717319838983539E-4</v>
      </c>
      <c r="E79" s="4">
        <v>6.188437879101279E-5</v>
      </c>
      <c r="F79" s="4">
        <v>1.4532401806950951E-3</v>
      </c>
      <c r="G79" s="4">
        <v>2.517906332890584E-4</v>
      </c>
      <c r="H79" s="4">
        <v>3.5717319838983539E-4</v>
      </c>
      <c r="I79" s="4">
        <v>6.188437879101279E-5</v>
      </c>
      <c r="J79" s="4">
        <v>1.4532401806950951E-3</v>
      </c>
      <c r="K79" s="4">
        <v>2.517906332890584E-4</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8.4076820878893871E-2</v>
      </c>
      <c r="C81" s="1" t="s">
        <v>13</v>
      </c>
      <c r="D81" s="4">
        <v>3.0029987023763814E-5</v>
      </c>
      <c r="E81" s="4">
        <v>5.2030418308136009E-6</v>
      </c>
      <c r="F81" s="4">
        <v>1.2218381436631287E-4</v>
      </c>
      <c r="G81" s="4">
        <v>2.1169755974027417E-5</v>
      </c>
      <c r="H81" s="4">
        <v>3.0029987023763814E-5</v>
      </c>
      <c r="I81" s="4">
        <v>5.2030418308136009E-6</v>
      </c>
      <c r="J81" s="4">
        <v>1.2218381436631287E-4</v>
      </c>
      <c r="K81" s="4">
        <v>2.1169755974027417E-5</v>
      </c>
      <c r="AC81" s="7"/>
    </row>
    <row r="82" spans="1:29" x14ac:dyDescent="0.25">
      <c r="A82" s="7"/>
      <c r="B82" s="4">
        <v>1.4567279555883028E-2</v>
      </c>
      <c r="C82" s="1" t="s">
        <v>14</v>
      </c>
      <c r="D82" s="4">
        <v>5.2030418308136017E-6</v>
      </c>
      <c r="E82" s="4">
        <v>9.0148704599084187E-7</v>
      </c>
      <c r="F82" s="4">
        <v>2.1169755974027417E-5</v>
      </c>
      <c r="G82" s="4">
        <v>3.6679045446745411E-6</v>
      </c>
      <c r="H82" s="4">
        <v>5.2030418308136017E-6</v>
      </c>
      <c r="I82" s="4">
        <v>9.0148704599084187E-7</v>
      </c>
      <c r="J82" s="4">
        <v>2.1169755974027417E-5</v>
      </c>
      <c r="K82" s="4">
        <v>3.6679045446745411E-6</v>
      </c>
      <c r="AC82" s="7"/>
    </row>
    <row r="83" spans="1:29" x14ac:dyDescent="0.25">
      <c r="A83" s="7"/>
      <c r="B83" s="4">
        <v>0.34208561817383565</v>
      </c>
      <c r="C83" s="1" t="s">
        <v>15</v>
      </c>
      <c r="D83" s="4">
        <v>1.2218381436631287E-4</v>
      </c>
      <c r="E83" s="4">
        <v>2.1169755974027413E-5</v>
      </c>
      <c r="F83" s="4">
        <v>4.9713256556813828E-4</v>
      </c>
      <c r="G83" s="4">
        <v>8.6133954439069103E-5</v>
      </c>
      <c r="H83" s="4">
        <v>1.2218381436631287E-4</v>
      </c>
      <c r="I83" s="4">
        <v>2.1169755974027413E-5</v>
      </c>
      <c r="J83" s="4">
        <v>4.9713256556813828E-4</v>
      </c>
      <c r="K83" s="4">
        <v>8.6133954439069103E-5</v>
      </c>
      <c r="AC83" s="7"/>
    </row>
    <row r="84" spans="1:29" x14ac:dyDescent="0.25">
      <c r="A84" s="7"/>
      <c r="B84" s="4">
        <v>5.9270281391387493E-2</v>
      </c>
      <c r="C84" s="1" t="s">
        <v>16</v>
      </c>
      <c r="D84" s="4">
        <v>2.1169755974027413E-5</v>
      </c>
      <c r="E84" s="4">
        <v>3.6679045446745402E-6</v>
      </c>
      <c r="F84" s="4">
        <v>8.6133954439069089E-5</v>
      </c>
      <c r="G84" s="4">
        <v>1.4923701686758151E-5</v>
      </c>
      <c r="H84" s="4">
        <v>2.1169755974027413E-5</v>
      </c>
      <c r="I84" s="4">
        <v>3.6679045446745402E-6</v>
      </c>
      <c r="J84" s="4">
        <v>8.6133954439069089E-5</v>
      </c>
      <c r="K84" s="4">
        <v>1.4923701686758151E-5</v>
      </c>
      <c r="AC84" s="7"/>
    </row>
    <row r="85" spans="1:29" x14ac:dyDescent="0.25">
      <c r="A85" s="7"/>
      <c r="B85" s="4">
        <v>8.4076820878893871E-2</v>
      </c>
      <c r="C85" s="1" t="s">
        <v>17</v>
      </c>
      <c r="D85" s="4">
        <v>3.0029987023763814E-5</v>
      </c>
      <c r="E85" s="4">
        <v>5.2030418308136009E-6</v>
      </c>
      <c r="F85" s="4">
        <v>1.2218381436631287E-4</v>
      </c>
      <c r="G85" s="4">
        <v>2.1169755974027417E-5</v>
      </c>
      <c r="H85" s="4">
        <v>3.0029987023763814E-5</v>
      </c>
      <c r="I85" s="4">
        <v>5.2030418308136009E-6</v>
      </c>
      <c r="J85" s="4">
        <v>1.2218381436631287E-4</v>
      </c>
      <c r="K85" s="4">
        <v>2.1169755974027417E-5</v>
      </c>
      <c r="AC85" s="7"/>
    </row>
    <row r="86" spans="1:29" x14ac:dyDescent="0.25">
      <c r="A86" s="7"/>
      <c r="B86" s="4">
        <v>1.4567279555883028E-2</v>
      </c>
      <c r="C86" s="1" t="s">
        <v>18</v>
      </c>
      <c r="D86" s="4">
        <v>5.2030418308136017E-6</v>
      </c>
      <c r="E86" s="4">
        <v>9.0148704599084187E-7</v>
      </c>
      <c r="F86" s="4">
        <v>2.1169755974027417E-5</v>
      </c>
      <c r="G86" s="4">
        <v>3.6679045446745411E-6</v>
      </c>
      <c r="H86" s="4">
        <v>5.2030418308136017E-6</v>
      </c>
      <c r="I86" s="4">
        <v>9.0148704599084187E-7</v>
      </c>
      <c r="J86" s="4">
        <v>2.1169755974027417E-5</v>
      </c>
      <c r="K86" s="4">
        <v>3.6679045446745411E-6</v>
      </c>
      <c r="AC86" s="7"/>
    </row>
    <row r="87" spans="1:29" x14ac:dyDescent="0.25">
      <c r="A87" s="7"/>
      <c r="B87" s="4">
        <v>0.34208561817383565</v>
      </c>
      <c r="C87" s="1" t="s">
        <v>19</v>
      </c>
      <c r="D87" s="4">
        <v>1.2218381436631287E-4</v>
      </c>
      <c r="E87" s="4">
        <v>2.1169755974027413E-5</v>
      </c>
      <c r="F87" s="4">
        <v>4.9713256556813828E-4</v>
      </c>
      <c r="G87" s="4">
        <v>8.6133954439069103E-5</v>
      </c>
      <c r="H87" s="4">
        <v>1.2218381436631287E-4</v>
      </c>
      <c r="I87" s="4">
        <v>2.1169755974027413E-5</v>
      </c>
      <c r="J87" s="4">
        <v>4.9713256556813828E-4</v>
      </c>
      <c r="K87" s="4">
        <v>8.6133954439069103E-5</v>
      </c>
      <c r="AC87" s="7"/>
    </row>
    <row r="88" spans="1:29" x14ac:dyDescent="0.25">
      <c r="A88" s="7"/>
      <c r="B88" s="4">
        <v>5.9270281391387493E-2</v>
      </c>
      <c r="C88" s="1" t="s">
        <v>20</v>
      </c>
      <c r="D88" s="4">
        <v>2.1169755974027413E-5</v>
      </c>
      <c r="E88" s="4">
        <v>3.6679045446745402E-6</v>
      </c>
      <c r="F88" s="4">
        <v>8.6133954439069089E-5</v>
      </c>
      <c r="G88" s="4">
        <v>1.4923701686758151E-5</v>
      </c>
      <c r="H88" s="4">
        <v>2.1169755974027413E-5</v>
      </c>
      <c r="I88" s="4">
        <v>3.6679045446745402E-6</v>
      </c>
      <c r="J88" s="4">
        <v>8.6133954439069089E-5</v>
      </c>
      <c r="K88" s="4">
        <v>1.4923701686758151E-5</v>
      </c>
      <c r="AC88" s="7"/>
    </row>
    <row r="89" spans="1:29" x14ac:dyDescent="0.25">
      <c r="A89" s="7"/>
      <c r="AC89" s="7"/>
    </row>
    <row r="90" spans="1:29" x14ac:dyDescent="0.25">
      <c r="A90" s="7"/>
      <c r="C90" s="1" t="s">
        <v>32</v>
      </c>
      <c r="D90" s="4">
        <v>0</v>
      </c>
      <c r="E90" s="4">
        <v>0</v>
      </c>
      <c r="F90" s="4">
        <v>0</v>
      </c>
      <c r="G90" s="4">
        <v>0</v>
      </c>
      <c r="H90" s="4">
        <v>0</v>
      </c>
      <c r="I90" s="4">
        <v>0</v>
      </c>
      <c r="J90" s="4">
        <v>0</v>
      </c>
      <c r="K90" s="4">
        <v>0</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1.4567279555883028E-2</v>
      </c>
      <c r="C92" s="1" t="s">
        <v>13</v>
      </c>
      <c r="D92" s="4">
        <v>0</v>
      </c>
      <c r="E92" s="4">
        <v>0</v>
      </c>
      <c r="F92" s="4">
        <v>0</v>
      </c>
      <c r="G92" s="4">
        <v>0</v>
      </c>
      <c r="H92" s="4">
        <v>0</v>
      </c>
      <c r="I92" s="4">
        <v>0</v>
      </c>
      <c r="J92" s="4">
        <v>0</v>
      </c>
      <c r="K92" s="4">
        <v>0</v>
      </c>
      <c r="AC92" s="7"/>
    </row>
    <row r="93" spans="1:29" x14ac:dyDescent="0.25">
      <c r="A93" s="7"/>
      <c r="B93" s="4">
        <v>8.4076820878893871E-2</v>
      </c>
      <c r="C93" s="1" t="s">
        <v>14</v>
      </c>
      <c r="D93" s="4">
        <v>0</v>
      </c>
      <c r="E93" s="4">
        <v>0</v>
      </c>
      <c r="F93" s="4">
        <v>0</v>
      </c>
      <c r="G93" s="4">
        <v>0</v>
      </c>
      <c r="H93" s="4">
        <v>0</v>
      </c>
      <c r="I93" s="4">
        <v>0</v>
      </c>
      <c r="J93" s="4">
        <v>0</v>
      </c>
      <c r="K93" s="4">
        <v>0</v>
      </c>
      <c r="AC93" s="7"/>
    </row>
    <row r="94" spans="1:29" x14ac:dyDescent="0.25">
      <c r="A94" s="7"/>
      <c r="B94" s="4">
        <v>5.9270281391387493E-2</v>
      </c>
      <c r="C94" s="1" t="s">
        <v>15</v>
      </c>
      <c r="D94" s="4">
        <v>0</v>
      </c>
      <c r="E94" s="4">
        <v>0</v>
      </c>
      <c r="F94" s="4">
        <v>0</v>
      </c>
      <c r="G94" s="4">
        <v>0</v>
      </c>
      <c r="H94" s="4">
        <v>0</v>
      </c>
      <c r="I94" s="4">
        <v>0</v>
      </c>
      <c r="J94" s="4">
        <v>0</v>
      </c>
      <c r="K94" s="4">
        <v>0</v>
      </c>
      <c r="AC94" s="7"/>
    </row>
    <row r="95" spans="1:29" x14ac:dyDescent="0.25">
      <c r="A95" s="7"/>
      <c r="B95" s="4">
        <v>0.34208561817383565</v>
      </c>
      <c r="C95" s="1" t="s">
        <v>16</v>
      </c>
      <c r="D95" s="4">
        <v>0</v>
      </c>
      <c r="E95" s="4">
        <v>0</v>
      </c>
      <c r="F95" s="4">
        <v>0</v>
      </c>
      <c r="G95" s="4">
        <v>0</v>
      </c>
      <c r="H95" s="4">
        <v>0</v>
      </c>
      <c r="I95" s="4">
        <v>0</v>
      </c>
      <c r="J95" s="4">
        <v>0</v>
      </c>
      <c r="K95" s="4">
        <v>0</v>
      </c>
      <c r="AC95" s="7"/>
    </row>
    <row r="96" spans="1:29" x14ac:dyDescent="0.25">
      <c r="A96" s="7"/>
      <c r="B96" s="4">
        <v>1.4567279555883028E-2</v>
      </c>
      <c r="C96" s="1" t="s">
        <v>17</v>
      </c>
      <c r="D96" s="4">
        <v>0</v>
      </c>
      <c r="E96" s="4">
        <v>0</v>
      </c>
      <c r="F96" s="4">
        <v>0</v>
      </c>
      <c r="G96" s="4">
        <v>0</v>
      </c>
      <c r="H96" s="4">
        <v>0</v>
      </c>
      <c r="I96" s="4">
        <v>0</v>
      </c>
      <c r="J96" s="4">
        <v>0</v>
      </c>
      <c r="K96" s="4">
        <v>0</v>
      </c>
      <c r="AC96" s="7"/>
    </row>
    <row r="97" spans="1:29" x14ac:dyDescent="0.25">
      <c r="A97" s="7"/>
      <c r="B97" s="4">
        <v>8.4076820878893871E-2</v>
      </c>
      <c r="C97" s="1" t="s">
        <v>18</v>
      </c>
      <c r="D97" s="4">
        <v>0</v>
      </c>
      <c r="E97" s="4">
        <v>0</v>
      </c>
      <c r="F97" s="4">
        <v>0</v>
      </c>
      <c r="G97" s="4">
        <v>0</v>
      </c>
      <c r="H97" s="4">
        <v>0</v>
      </c>
      <c r="I97" s="4">
        <v>0</v>
      </c>
      <c r="J97" s="4">
        <v>0</v>
      </c>
      <c r="K97" s="4">
        <v>0</v>
      </c>
      <c r="AC97" s="7"/>
    </row>
    <row r="98" spans="1:29" x14ac:dyDescent="0.25">
      <c r="A98" s="7"/>
      <c r="B98" s="4">
        <v>5.9270281391387493E-2</v>
      </c>
      <c r="C98" s="1" t="s">
        <v>19</v>
      </c>
      <c r="D98" s="4">
        <v>0</v>
      </c>
      <c r="E98" s="4">
        <v>0</v>
      </c>
      <c r="F98" s="4">
        <v>0</v>
      </c>
      <c r="G98" s="4">
        <v>0</v>
      </c>
      <c r="H98" s="4">
        <v>0</v>
      </c>
      <c r="I98" s="4">
        <v>0</v>
      </c>
      <c r="J98" s="4">
        <v>0</v>
      </c>
      <c r="K98" s="4">
        <v>0</v>
      </c>
      <c r="AC98" s="7"/>
    </row>
    <row r="99" spans="1:29" x14ac:dyDescent="0.25">
      <c r="A99" s="7"/>
      <c r="B99" s="4">
        <v>0.34208561817383565</v>
      </c>
      <c r="C99" s="1" t="s">
        <v>20</v>
      </c>
      <c r="D99" s="4">
        <v>0</v>
      </c>
      <c r="E99" s="4">
        <v>0</v>
      </c>
      <c r="F99" s="4">
        <v>0</v>
      </c>
      <c r="G99" s="4">
        <v>0</v>
      </c>
      <c r="H99" s="4">
        <v>0</v>
      </c>
      <c r="I99" s="4">
        <v>0</v>
      </c>
      <c r="J99" s="4">
        <v>0</v>
      </c>
      <c r="K99" s="4">
        <v>0</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3.8989530541353422E-2</v>
      </c>
      <c r="E103" s="4">
        <v>7.5442596647916776E-3</v>
      </c>
      <c r="F103" s="4">
        <v>1.023623572913817E-2</v>
      </c>
      <c r="G103" s="4">
        <v>4.9832568319853254E-3</v>
      </c>
      <c r="H103" s="4">
        <v>3.8989530541353422E-2</v>
      </c>
      <c r="I103" s="4">
        <v>7.5442596647916776E-3</v>
      </c>
      <c r="J103" s="4">
        <v>1.023623572913817E-2</v>
      </c>
      <c r="K103" s="4">
        <v>4.9832568319853254E-3</v>
      </c>
      <c r="L103" s="7">
        <v>0.12350656553453719</v>
      </c>
      <c r="AC103" s="7"/>
    </row>
    <row r="104" spans="1:29" x14ac:dyDescent="0.25">
      <c r="A104" s="7"/>
      <c r="C104" s="1" t="s">
        <v>14</v>
      </c>
      <c r="D104" s="4">
        <v>7.5442596647916759E-3</v>
      </c>
      <c r="E104" s="4">
        <v>5.8602092425971289E-3</v>
      </c>
      <c r="F104" s="4">
        <v>4.9832568319853245E-3</v>
      </c>
      <c r="G104" s="4">
        <v>1.9388642273693298E-2</v>
      </c>
      <c r="H104" s="4">
        <v>7.5442596647916759E-3</v>
      </c>
      <c r="I104" s="4">
        <v>5.8602092425971289E-3</v>
      </c>
      <c r="J104" s="4">
        <v>4.9832568319853245E-3</v>
      </c>
      <c r="K104" s="4">
        <v>1.9388642273693298E-2</v>
      </c>
      <c r="L104" s="7">
        <v>7.5552736026134854E-2</v>
      </c>
      <c r="T104" s="6"/>
      <c r="AC104" s="7"/>
    </row>
    <row r="105" spans="1:29" x14ac:dyDescent="0.25">
      <c r="A105" s="7"/>
      <c r="C105" s="1" t="s">
        <v>15</v>
      </c>
      <c r="D105" s="4">
        <v>1.0236235729138168E-2</v>
      </c>
      <c r="E105" s="4">
        <v>4.9832568319853254E-3</v>
      </c>
      <c r="F105" s="4">
        <v>5.174749186622341E-3</v>
      </c>
      <c r="G105" s="4">
        <v>1.395602173823106E-2</v>
      </c>
      <c r="H105" s="4">
        <v>1.0236235729138168E-2</v>
      </c>
      <c r="I105" s="4">
        <v>4.9832568319853254E-3</v>
      </c>
      <c r="J105" s="4">
        <v>5.174749186622341E-3</v>
      </c>
      <c r="K105" s="4">
        <v>1.395602173823106E-2</v>
      </c>
      <c r="L105" s="7">
        <v>6.8700526971953793E-2</v>
      </c>
      <c r="AC105" s="7"/>
    </row>
    <row r="106" spans="1:29" x14ac:dyDescent="0.25">
      <c r="A106" s="7"/>
      <c r="C106" s="1" t="s">
        <v>16</v>
      </c>
      <c r="D106" s="4">
        <v>4.9832568319853254E-3</v>
      </c>
      <c r="E106" s="4">
        <v>1.9388642273693302E-2</v>
      </c>
      <c r="F106" s="4">
        <v>1.3956021738231062E-2</v>
      </c>
      <c r="G106" s="4">
        <v>7.779216488977754E-2</v>
      </c>
      <c r="H106" s="4">
        <v>4.9832568319853254E-3</v>
      </c>
      <c r="I106" s="4">
        <v>1.9388642273693302E-2</v>
      </c>
      <c r="J106" s="4">
        <v>1.3956021738231062E-2</v>
      </c>
      <c r="K106" s="4">
        <v>7.779216488977754E-2</v>
      </c>
      <c r="L106" s="7">
        <v>0.23224017146737447</v>
      </c>
      <c r="AC106" s="7"/>
    </row>
    <row r="107" spans="1:29" x14ac:dyDescent="0.25">
      <c r="A107" s="7"/>
      <c r="C107" s="1" t="s">
        <v>17</v>
      </c>
      <c r="D107" s="4">
        <v>3.8989530541353422E-2</v>
      </c>
      <c r="E107" s="4">
        <v>7.5442596647916776E-3</v>
      </c>
      <c r="F107" s="4">
        <v>1.023623572913817E-2</v>
      </c>
      <c r="G107" s="4">
        <v>4.9832568319853254E-3</v>
      </c>
      <c r="H107" s="4">
        <v>3.8989530541353422E-2</v>
      </c>
      <c r="I107" s="4">
        <v>7.5442596647916776E-3</v>
      </c>
      <c r="J107" s="4">
        <v>1.023623572913817E-2</v>
      </c>
      <c r="K107" s="4">
        <v>4.9832568319853254E-3</v>
      </c>
      <c r="L107" s="7">
        <v>0.12350656553453719</v>
      </c>
      <c r="AC107" s="7"/>
    </row>
    <row r="108" spans="1:29" x14ac:dyDescent="0.25">
      <c r="A108" s="7"/>
      <c r="C108" s="1" t="s">
        <v>18</v>
      </c>
      <c r="D108" s="4">
        <v>7.5442596647916759E-3</v>
      </c>
      <c r="E108" s="4">
        <v>5.8602092425971289E-3</v>
      </c>
      <c r="F108" s="4">
        <v>4.9832568319853245E-3</v>
      </c>
      <c r="G108" s="4">
        <v>1.9388642273693298E-2</v>
      </c>
      <c r="H108" s="4">
        <v>7.5442596647916759E-3</v>
      </c>
      <c r="I108" s="4">
        <v>5.8602092425971289E-3</v>
      </c>
      <c r="J108" s="4">
        <v>4.9832568319853245E-3</v>
      </c>
      <c r="K108" s="4">
        <v>1.9388642273693298E-2</v>
      </c>
      <c r="L108" s="7">
        <v>7.5552736026134854E-2</v>
      </c>
      <c r="AC108" s="7"/>
    </row>
    <row r="109" spans="1:29" x14ac:dyDescent="0.25">
      <c r="A109" s="7"/>
      <c r="C109" s="1" t="s">
        <v>19</v>
      </c>
      <c r="D109" s="4">
        <v>1.0236235729138168E-2</v>
      </c>
      <c r="E109" s="4">
        <v>4.9832568319853254E-3</v>
      </c>
      <c r="F109" s="4">
        <v>5.174749186622341E-3</v>
      </c>
      <c r="G109" s="4">
        <v>1.395602173823106E-2</v>
      </c>
      <c r="H109" s="4">
        <v>1.0236235729138168E-2</v>
      </c>
      <c r="I109" s="4">
        <v>4.9832568319853254E-3</v>
      </c>
      <c r="J109" s="4">
        <v>5.174749186622341E-3</v>
      </c>
      <c r="K109" s="4">
        <v>1.395602173823106E-2</v>
      </c>
      <c r="L109" s="7">
        <v>6.8700526971953793E-2</v>
      </c>
      <c r="AC109" s="7"/>
    </row>
    <row r="110" spans="1:29" x14ac:dyDescent="0.25">
      <c r="A110" s="7"/>
      <c r="C110" s="1" t="s">
        <v>20</v>
      </c>
      <c r="D110" s="4">
        <v>4.9832568319853254E-3</v>
      </c>
      <c r="E110" s="4">
        <v>1.9388642273693302E-2</v>
      </c>
      <c r="F110" s="4">
        <v>1.3956021738231062E-2</v>
      </c>
      <c r="G110" s="4">
        <v>7.779216488977754E-2</v>
      </c>
      <c r="H110" s="4">
        <v>4.9832568319853254E-3</v>
      </c>
      <c r="I110" s="4">
        <v>1.9388642273693302E-2</v>
      </c>
      <c r="J110" s="4">
        <v>1.3956021738231062E-2</v>
      </c>
      <c r="K110" s="4">
        <v>7.779216488977754E-2</v>
      </c>
      <c r="L110" s="7">
        <v>0.23224017146737447</v>
      </c>
      <c r="AC110" s="7"/>
    </row>
    <row r="111" spans="1:29" x14ac:dyDescent="0.25">
      <c r="A111" s="7"/>
      <c r="D111" s="3">
        <v>0.12350656553453718</v>
      </c>
      <c r="E111" s="3">
        <v>7.5552736026134867E-2</v>
      </c>
      <c r="F111" s="3">
        <v>6.8700526971953793E-2</v>
      </c>
      <c r="G111" s="3">
        <v>0.23224017146737447</v>
      </c>
      <c r="H111" s="3">
        <v>0.12350656553453718</v>
      </c>
      <c r="I111" s="3">
        <v>7.5552736026134867E-2</v>
      </c>
      <c r="J111" s="3">
        <v>6.8700526971953793E-2</v>
      </c>
      <c r="K111" s="3">
        <v>0.23224017146737447</v>
      </c>
      <c r="L111" s="7">
        <v>1.0000000000000007</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0.50000000000000033</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0.60188139687865649</v>
      </c>
      <c r="R114" t="s">
        <v>58</v>
      </c>
      <c r="W114" s="1" t="s">
        <v>45</v>
      </c>
      <c r="X114" s="7" t="s">
        <v>47</v>
      </c>
      <c r="Y114" s="7" t="s">
        <v>48</v>
      </c>
      <c r="Z114" s="7" t="s">
        <v>49</v>
      </c>
      <c r="AA114" s="7" t="s">
        <v>50</v>
      </c>
      <c r="AB114" s="7"/>
      <c r="AC114" s="7"/>
    </row>
    <row r="115" spans="1:29" x14ac:dyDescent="0.25">
      <c r="A115" s="7"/>
      <c r="C115" s="1" t="s">
        <v>13</v>
      </c>
      <c r="D115" s="5">
        <v>7.7979061082706842</v>
      </c>
      <c r="E115" s="5">
        <v>1.5088519329583354</v>
      </c>
      <c r="F115" s="5">
        <v>2.047247145827634</v>
      </c>
      <c r="G115" s="5">
        <v>0.99665136639706509</v>
      </c>
      <c r="H115" s="5">
        <v>7.7979061082706842</v>
      </c>
      <c r="I115" s="5">
        <v>1.5088519329583354</v>
      </c>
      <c r="J115" s="5">
        <v>2.047247145827634</v>
      </c>
      <c r="K115" s="5">
        <v>0.99665136639706509</v>
      </c>
      <c r="L115" s="13">
        <v>24.701313106907438</v>
      </c>
      <c r="N115" t="s">
        <v>38</v>
      </c>
      <c r="O115" s="8">
        <v>0.61558581498701859</v>
      </c>
      <c r="W115" s="1" t="s">
        <v>13</v>
      </c>
      <c r="X115" s="5">
        <v>24.701313106907438</v>
      </c>
      <c r="Y115" s="5">
        <v>7.7979061082706842</v>
      </c>
      <c r="Z115" s="5">
        <v>16.903406998636754</v>
      </c>
      <c r="AA115" s="8">
        <v>10.859137160216573</v>
      </c>
      <c r="AB115" s="8">
        <v>0.26004829758402276</v>
      </c>
      <c r="AC115" s="7"/>
    </row>
    <row r="116" spans="1:29" x14ac:dyDescent="0.25">
      <c r="A116" s="7"/>
      <c r="C116" s="1" t="s">
        <v>14</v>
      </c>
      <c r="D116" s="5">
        <v>1.5088519329583352</v>
      </c>
      <c r="E116" s="5">
        <v>1.1720418485194257</v>
      </c>
      <c r="F116" s="5">
        <v>0.99665136639706486</v>
      </c>
      <c r="G116" s="5">
        <v>3.8777284547386595</v>
      </c>
      <c r="H116" s="5">
        <v>1.5088519329583352</v>
      </c>
      <c r="I116" s="5">
        <v>1.1720418485194257</v>
      </c>
      <c r="J116" s="5">
        <v>0.99665136639706486</v>
      </c>
      <c r="K116" s="5">
        <v>3.8777284547386595</v>
      </c>
      <c r="L116" s="13">
        <v>15.110547205226972</v>
      </c>
      <c r="M116" s="10" t="s">
        <v>39</v>
      </c>
      <c r="N116" s="10">
        <v>1</v>
      </c>
      <c r="O116" s="10">
        <v>2</v>
      </c>
      <c r="P116" s="10" t="s">
        <v>39</v>
      </c>
      <c r="Q116" s="10">
        <v>1</v>
      </c>
      <c r="R116" s="10">
        <v>2</v>
      </c>
      <c r="S116" s="10" t="s">
        <v>11</v>
      </c>
      <c r="T116" s="10" t="s">
        <v>42</v>
      </c>
      <c r="U116" s="10" t="s">
        <v>43</v>
      </c>
      <c r="V116" s="10"/>
      <c r="W116" s="1" t="s">
        <v>14</v>
      </c>
      <c r="X116" s="5">
        <v>15.110547205226972</v>
      </c>
      <c r="Y116" s="5">
        <v>1.1720418485194257</v>
      </c>
      <c r="Z116" s="5">
        <v>13.938505356707546</v>
      </c>
      <c r="AA116" s="8">
        <v>2.5253703764392892E-2</v>
      </c>
      <c r="AB116" s="8">
        <v>2.5301024011640849</v>
      </c>
      <c r="AC116" s="7"/>
    </row>
    <row r="117" spans="1:29" x14ac:dyDescent="0.25">
      <c r="A117" s="7"/>
      <c r="C117" s="1" t="s">
        <v>15</v>
      </c>
      <c r="D117" s="5">
        <v>2.0472471458276336</v>
      </c>
      <c r="E117" s="5">
        <v>0.99665136639706509</v>
      </c>
      <c r="F117" s="5">
        <v>1.0349498373244681</v>
      </c>
      <c r="G117" s="5">
        <v>2.7912043476462123</v>
      </c>
      <c r="H117" s="5">
        <v>2.0472471458276336</v>
      </c>
      <c r="I117" s="5">
        <v>0.99665136639706509</v>
      </c>
      <c r="J117" s="5">
        <v>1.0349498373244681</v>
      </c>
      <c r="K117" s="5">
        <v>2.7912043476462123</v>
      </c>
      <c r="L117" s="13">
        <v>13.74010539439076</v>
      </c>
      <c r="M117" s="10">
        <v>1</v>
      </c>
      <c r="N117" s="5">
        <v>50.000000000000028</v>
      </c>
      <c r="O117" s="5">
        <v>50.000000000000028</v>
      </c>
      <c r="P117" s="10">
        <v>1</v>
      </c>
      <c r="Q117">
        <v>0.72000000000000641</v>
      </c>
      <c r="R117">
        <v>3.3800000000000128</v>
      </c>
      <c r="S117" s="12">
        <v>27.959999999999983</v>
      </c>
      <c r="T117">
        <v>0.99999987615073838</v>
      </c>
      <c r="U117">
        <v>1.2384926162400944E-7</v>
      </c>
      <c r="W117" s="1" t="s">
        <v>15</v>
      </c>
      <c r="X117" s="5">
        <v>13.74010539439076</v>
      </c>
      <c r="Y117" s="5">
        <v>1.0349498373244681</v>
      </c>
      <c r="Z117" s="5">
        <v>12.705155557066291</v>
      </c>
      <c r="AA117" s="8">
        <v>1.0349498373244681</v>
      </c>
      <c r="AB117" s="8">
        <v>6.8423597915366645E-3</v>
      </c>
      <c r="AC117" s="7"/>
    </row>
    <row r="118" spans="1:29" x14ac:dyDescent="0.25">
      <c r="A118" s="7"/>
      <c r="C118" s="1" t="s">
        <v>16</v>
      </c>
      <c r="D118" s="5">
        <v>0.99665136639706509</v>
      </c>
      <c r="E118" s="5">
        <v>3.8777284547386603</v>
      </c>
      <c r="F118" s="5">
        <v>2.7912043476462123</v>
      </c>
      <c r="G118" s="5">
        <v>15.558432977955508</v>
      </c>
      <c r="H118" s="5">
        <v>0.99665136639706509</v>
      </c>
      <c r="I118" s="5">
        <v>3.8777284547386603</v>
      </c>
      <c r="J118" s="5">
        <v>2.7912043476462123</v>
      </c>
      <c r="K118" s="5">
        <v>15.558432977955508</v>
      </c>
      <c r="L118" s="13">
        <v>46.44803429347489</v>
      </c>
      <c r="M118" s="10">
        <v>2</v>
      </c>
      <c r="N118" s="5">
        <v>50.000000000000028</v>
      </c>
      <c r="O118" s="5">
        <v>50.000000000000028</v>
      </c>
      <c r="P118" s="10">
        <v>2</v>
      </c>
      <c r="Q118">
        <v>3.3800000000000128</v>
      </c>
      <c r="R118">
        <v>20.479999999999951</v>
      </c>
      <c r="W118" s="1" t="s">
        <v>16</v>
      </c>
      <c r="X118" s="5">
        <v>46.44803429347489</v>
      </c>
      <c r="Y118" s="5">
        <v>15.558432977955508</v>
      </c>
      <c r="Z118" s="5">
        <v>30.889601315519382</v>
      </c>
      <c r="AA118" s="8">
        <v>10.136897403823586</v>
      </c>
      <c r="AB118" s="8">
        <v>3.8389429374533051</v>
      </c>
      <c r="AC118" s="7"/>
    </row>
    <row r="119" spans="1:29" x14ac:dyDescent="0.25">
      <c r="A119" s="7"/>
      <c r="C119" s="1" t="s">
        <v>17</v>
      </c>
      <c r="D119" s="5">
        <v>7.7979061082706842</v>
      </c>
      <c r="E119" s="5">
        <v>1.5088519329583354</v>
      </c>
      <c r="F119" s="5">
        <v>2.047247145827634</v>
      </c>
      <c r="G119" s="5">
        <v>0.99665136639706509</v>
      </c>
      <c r="H119" s="5">
        <v>7.7979061082706842</v>
      </c>
      <c r="I119" s="5">
        <v>1.5088519329583354</v>
      </c>
      <c r="J119" s="5">
        <v>2.047247145827634</v>
      </c>
      <c r="K119" s="5">
        <v>0.99665136639706509</v>
      </c>
      <c r="L119" s="13">
        <v>24.701313106907438</v>
      </c>
      <c r="M119" s="10" t="s">
        <v>40</v>
      </c>
      <c r="N119" s="10">
        <v>1</v>
      </c>
      <c r="O119" s="10">
        <v>2</v>
      </c>
      <c r="P119" s="10" t="s">
        <v>40</v>
      </c>
      <c r="Q119" s="10">
        <v>1</v>
      </c>
      <c r="R119" s="10">
        <v>2</v>
      </c>
      <c r="S119" s="10" t="s">
        <v>11</v>
      </c>
      <c r="T119" s="10" t="s">
        <v>42</v>
      </c>
      <c r="U119" s="10" t="s">
        <v>43</v>
      </c>
      <c r="W119" s="1" t="s">
        <v>17</v>
      </c>
      <c r="X119" s="5">
        <v>24.701313106907438</v>
      </c>
      <c r="Y119" s="5">
        <v>7.7979061082706842</v>
      </c>
      <c r="Z119" s="5">
        <v>16.903406998636754</v>
      </c>
      <c r="AA119" s="8">
        <v>4.3108643235225301</v>
      </c>
      <c r="AB119" s="8">
        <v>0.90139142944586326</v>
      </c>
      <c r="AC119" s="7"/>
    </row>
    <row r="120" spans="1:29" x14ac:dyDescent="0.25">
      <c r="A120" s="7"/>
      <c r="C120" s="1" t="s">
        <v>18</v>
      </c>
      <c r="D120" s="5">
        <v>1.5088519329583352</v>
      </c>
      <c r="E120" s="5">
        <v>1.1720418485194257</v>
      </c>
      <c r="F120" s="5">
        <v>0.99665136639706486</v>
      </c>
      <c r="G120" s="5">
        <v>3.8777284547386595</v>
      </c>
      <c r="H120" s="5">
        <v>1.5088519329583352</v>
      </c>
      <c r="I120" s="5">
        <v>1.1720418485194257</v>
      </c>
      <c r="J120" s="5">
        <v>0.99665136639706486</v>
      </c>
      <c r="K120" s="5">
        <v>3.8777284547386595</v>
      </c>
      <c r="L120" s="13">
        <v>15.110547205226972</v>
      </c>
      <c r="M120" s="10">
        <v>1</v>
      </c>
      <c r="N120" s="5">
        <v>47.950607290827136</v>
      </c>
      <c r="O120" s="5">
        <v>31.673113333441687</v>
      </c>
      <c r="P120" s="10">
        <v>1</v>
      </c>
      <c r="Q120">
        <v>1.8845521932452671E-2</v>
      </c>
      <c r="R120">
        <v>3.3736782250825951E-3</v>
      </c>
      <c r="S120" s="12">
        <v>8.3380794208953085E-2</v>
      </c>
      <c r="T120">
        <v>0.22723291067732848</v>
      </c>
      <c r="U120">
        <v>0.77276708932267146</v>
      </c>
      <c r="W120" s="1" t="s">
        <v>18</v>
      </c>
      <c r="X120" s="5">
        <v>15.110547205226972</v>
      </c>
      <c r="Y120" s="5">
        <v>1.1720418485194257</v>
      </c>
      <c r="Z120" s="5">
        <v>13.938505356707546</v>
      </c>
      <c r="AA120" s="8">
        <v>0.58488926949929443</v>
      </c>
      <c r="AB120" s="8">
        <v>0.67243576058160315</v>
      </c>
      <c r="AC120" s="7"/>
    </row>
    <row r="121" spans="1:29" x14ac:dyDescent="0.25">
      <c r="A121" s="7"/>
      <c r="C121" s="1" t="s">
        <v>19</v>
      </c>
      <c r="D121" s="5">
        <v>2.0472471458276336</v>
      </c>
      <c r="E121" s="5">
        <v>0.99665136639706509</v>
      </c>
      <c r="F121" s="5">
        <v>1.0349498373244681</v>
      </c>
      <c r="G121" s="5">
        <v>2.7912043476462123</v>
      </c>
      <c r="H121" s="5">
        <v>2.0472471458276336</v>
      </c>
      <c r="I121" s="5">
        <v>0.99665136639706509</v>
      </c>
      <c r="J121" s="5">
        <v>1.0349498373244681</v>
      </c>
      <c r="K121" s="5">
        <v>2.7912043476462123</v>
      </c>
      <c r="L121" s="13">
        <v>13.74010539439076</v>
      </c>
      <c r="M121" s="10">
        <v>2</v>
      </c>
      <c r="N121" s="5">
        <v>31.673113333441691</v>
      </c>
      <c r="O121" s="5">
        <v>88.70316604228961</v>
      </c>
      <c r="P121" s="10">
        <v>2</v>
      </c>
      <c r="Q121">
        <v>5.5587469641997019E-2</v>
      </c>
      <c r="R121">
        <v>5.5741244094208026E-3</v>
      </c>
      <c r="W121" s="1" t="s">
        <v>19</v>
      </c>
      <c r="X121" s="5">
        <v>13.74010539439076</v>
      </c>
      <c r="Y121" s="5">
        <v>1.0349498373244681</v>
      </c>
      <c r="Z121" s="5">
        <v>12.705155557066291</v>
      </c>
      <c r="AA121" s="8">
        <v>0.89987145549750058</v>
      </c>
      <c r="AB121" s="8">
        <v>0.13196391999024451</v>
      </c>
      <c r="AC121" s="7"/>
    </row>
    <row r="122" spans="1:29" x14ac:dyDescent="0.25">
      <c r="A122" s="7"/>
      <c r="C122" s="1" t="s">
        <v>20</v>
      </c>
      <c r="D122" s="5">
        <v>0.99665136639706509</v>
      </c>
      <c r="E122" s="5">
        <v>3.8777284547386603</v>
      </c>
      <c r="F122" s="5">
        <v>2.7912043476462123</v>
      </c>
      <c r="G122" s="5">
        <v>15.558432977955508</v>
      </c>
      <c r="H122" s="5">
        <v>0.99665136639706509</v>
      </c>
      <c r="I122" s="5">
        <v>3.8777284547386603</v>
      </c>
      <c r="J122" s="5">
        <v>2.7912043476462123</v>
      </c>
      <c r="K122" s="5">
        <v>15.558432977955508</v>
      </c>
      <c r="L122" s="13">
        <v>46.44803429347489</v>
      </c>
      <c r="M122" s="10" t="s">
        <v>41</v>
      </c>
      <c r="N122" s="10">
        <v>1</v>
      </c>
      <c r="O122" s="10">
        <v>2</v>
      </c>
      <c r="P122" s="10" t="s">
        <v>41</v>
      </c>
      <c r="Q122" s="10">
        <v>1</v>
      </c>
      <c r="R122" s="10">
        <v>2</v>
      </c>
      <c r="S122" s="10" t="s">
        <v>11</v>
      </c>
      <c r="T122" s="10" t="s">
        <v>42</v>
      </c>
      <c r="U122" s="10" t="s">
        <v>43</v>
      </c>
      <c r="W122" s="1" t="s">
        <v>20</v>
      </c>
      <c r="X122" s="5">
        <v>46.44803429347489</v>
      </c>
      <c r="Y122" s="5">
        <v>15.558432977955508</v>
      </c>
      <c r="Z122" s="5">
        <v>30.889601315519382</v>
      </c>
      <c r="AA122" s="8">
        <v>26.857310302958698</v>
      </c>
      <c r="AB122" s="8">
        <v>0.14418388123448775</v>
      </c>
      <c r="AC122" s="7"/>
    </row>
    <row r="123" spans="1:29" x14ac:dyDescent="0.25">
      <c r="A123" s="7"/>
      <c r="D123" s="13">
        <v>24.701313106907435</v>
      </c>
      <c r="E123" s="13">
        <v>15.110547205226974</v>
      </c>
      <c r="F123" s="13">
        <v>13.74010539439076</v>
      </c>
      <c r="G123" s="13">
        <v>46.44803429347489</v>
      </c>
      <c r="H123" s="13">
        <v>24.701313106907435</v>
      </c>
      <c r="I123" s="13">
        <v>15.110547205226974</v>
      </c>
      <c r="J123" s="13">
        <v>13.74010539439076</v>
      </c>
      <c r="K123" s="13">
        <v>46.44803429347489</v>
      </c>
      <c r="L123" s="1">
        <v>200.00000000000011</v>
      </c>
      <c r="M123" s="10">
        <v>1</v>
      </c>
      <c r="N123" s="5">
        <v>51.709400949001683</v>
      </c>
      <c r="O123" s="5">
        <v>25.173436053594706</v>
      </c>
      <c r="P123" s="10">
        <v>1</v>
      </c>
      <c r="Q123">
        <v>0.10146789396398311</v>
      </c>
      <c r="R123">
        <v>2.714003587124663E-2</v>
      </c>
      <c r="S123" s="12">
        <v>0.5106774090174766</v>
      </c>
      <c r="T123">
        <v>0.52515424213510253</v>
      </c>
      <c r="U123">
        <v>0.47484575786489747</v>
      </c>
      <c r="W123" s="1" t="s">
        <v>59</v>
      </c>
      <c r="X123" s="7">
        <v>200.00000000000011</v>
      </c>
      <c r="Y123" s="7">
        <v>51.126661544140177</v>
      </c>
      <c r="Z123" s="7">
        <v>148.87333845585994</v>
      </c>
      <c r="AA123" s="7">
        <v>54.70917345660704</v>
      </c>
      <c r="AB123" s="7">
        <v>8.4859109872451484</v>
      </c>
      <c r="AC123" s="11">
        <v>63.195084443852188</v>
      </c>
    </row>
    <row r="124" spans="1:29" x14ac:dyDescent="0.25">
      <c r="A124" s="7"/>
      <c r="M124" s="10">
        <v>2</v>
      </c>
      <c r="N124" s="5">
        <v>25.173436053594706</v>
      </c>
      <c r="O124" s="5">
        <v>97.943726943809011</v>
      </c>
      <c r="P124" s="10">
        <v>2</v>
      </c>
      <c r="Q124">
        <v>0.13253398714440734</v>
      </c>
      <c r="R124">
        <v>0.24953549203783959</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13.249087598965547</v>
      </c>
      <c r="E127" s="8">
        <v>2.0617897089662858</v>
      </c>
      <c r="F127" s="8">
        <v>2.6791933044084209</v>
      </c>
      <c r="G127" s="8">
        <v>3.3542528244210616E-3</v>
      </c>
      <c r="H127" s="8">
        <v>-1.5725746846281852</v>
      </c>
      <c r="I127" s="8">
        <v>-0.41134905234601454</v>
      </c>
      <c r="J127" s="8">
        <v>-4.6697708915680092E-2</v>
      </c>
      <c r="K127" s="8">
        <v>1.3930028667687326</v>
      </c>
      <c r="L127" s="14">
        <v>17.355806286043528</v>
      </c>
      <c r="AC127" s="7"/>
    </row>
    <row r="128" spans="1:29" x14ac:dyDescent="0.25">
      <c r="A128" s="7"/>
      <c r="C128" s="1" t="s">
        <v>14</v>
      </c>
      <c r="D128" s="8">
        <v>2.0617897089662862</v>
      </c>
      <c r="E128" s="8">
        <v>-0.1587473974451814</v>
      </c>
      <c r="F128" s="8">
        <v>3.3542528244212828E-3</v>
      </c>
      <c r="G128" s="8">
        <v>-1.355249532382901</v>
      </c>
      <c r="H128" s="8">
        <v>-0.41134905234601438</v>
      </c>
      <c r="I128" s="8">
        <v>-0.1587473974451814</v>
      </c>
      <c r="J128" s="8">
        <v>0</v>
      </c>
      <c r="K128" s="8">
        <v>-1.355249532382901</v>
      </c>
      <c r="L128" s="14">
        <v>-1.3741989502114718</v>
      </c>
      <c r="AC128" s="7"/>
    </row>
    <row r="129" spans="1:29" x14ac:dyDescent="0.25">
      <c r="A129" s="7"/>
      <c r="C129" s="1" t="s">
        <v>15</v>
      </c>
      <c r="D129" s="8">
        <v>4.4647093870815757</v>
      </c>
      <c r="E129" s="8">
        <v>3.3542528244210616E-3</v>
      </c>
      <c r="F129" s="8">
        <v>0</v>
      </c>
      <c r="G129" s="8">
        <v>-1.0264731685154007</v>
      </c>
      <c r="H129" s="8">
        <v>-4.6697708915679863E-2</v>
      </c>
      <c r="I129" s="8">
        <v>3.3542528244210616E-3</v>
      </c>
      <c r="J129" s="8">
        <v>-3.4352959189629807E-2</v>
      </c>
      <c r="K129" s="8">
        <v>-0.66665197591091108</v>
      </c>
      <c r="L129" s="14">
        <v>2.6972420801987962</v>
      </c>
      <c r="AC129" s="7"/>
    </row>
    <row r="130" spans="1:29" x14ac:dyDescent="0.25">
      <c r="A130" s="7"/>
      <c r="C130" s="1" t="s">
        <v>16</v>
      </c>
      <c r="D130" s="8">
        <v>3.3542528244210616E-3</v>
      </c>
      <c r="E130" s="8">
        <v>-1.3552495323829012</v>
      </c>
      <c r="F130" s="8">
        <v>-1.0264731685154007</v>
      </c>
      <c r="G130" s="8">
        <v>-4.9379715499592809</v>
      </c>
      <c r="H130" s="8">
        <v>3.3542528244210616E-3</v>
      </c>
      <c r="I130" s="8">
        <v>-0.76991173114437506</v>
      </c>
      <c r="J130" s="8">
        <v>-0.66665197591091108</v>
      </c>
      <c r="K130" s="8">
        <v>-3.8137828577511592</v>
      </c>
      <c r="L130" s="14">
        <v>-12.563332310015186</v>
      </c>
      <c r="AC130" s="7"/>
    </row>
    <row r="131" spans="1:29" x14ac:dyDescent="0.25">
      <c r="A131" s="7"/>
      <c r="C131" s="1" t="s">
        <v>17</v>
      </c>
      <c r="D131" s="8">
        <v>-1.5725746846281852</v>
      </c>
      <c r="E131" s="8">
        <v>-0.41134905234601454</v>
      </c>
      <c r="F131" s="8">
        <v>-4.6697708915680092E-2</v>
      </c>
      <c r="G131" s="8">
        <v>3.3542528244210616E-3</v>
      </c>
      <c r="H131" s="8">
        <v>-2.7214161388789475</v>
      </c>
      <c r="I131" s="8">
        <v>0</v>
      </c>
      <c r="J131" s="8">
        <v>-0.71649603501778536</v>
      </c>
      <c r="K131" s="8">
        <v>1.3930028667687326</v>
      </c>
      <c r="L131" s="14">
        <v>-4.0721765001934589</v>
      </c>
      <c r="AC131" s="7"/>
    </row>
    <row r="132" spans="1:29" x14ac:dyDescent="0.25">
      <c r="A132" s="7"/>
      <c r="C132" s="1" t="s">
        <v>18</v>
      </c>
      <c r="D132" s="8">
        <v>-0.41134905234601438</v>
      </c>
      <c r="E132" s="8">
        <v>-0.1587473974451814</v>
      </c>
      <c r="F132" s="8">
        <v>3.3542528244212828E-3</v>
      </c>
      <c r="G132" s="8">
        <v>-0.76991173114437406</v>
      </c>
      <c r="H132" s="8">
        <v>-0.41134905234601438</v>
      </c>
      <c r="I132" s="8">
        <v>1.0687995662295278</v>
      </c>
      <c r="J132" s="8">
        <v>1.3930028667687331</v>
      </c>
      <c r="K132" s="8">
        <v>5.7935360743754787</v>
      </c>
      <c r="L132" s="14">
        <v>6.5073355269165765</v>
      </c>
      <c r="AC132" s="7"/>
    </row>
    <row r="133" spans="1:29" x14ac:dyDescent="0.25">
      <c r="A133" s="7"/>
      <c r="C133" s="1" t="s">
        <v>19</v>
      </c>
      <c r="D133" s="8">
        <v>-4.6697708915679863E-2</v>
      </c>
      <c r="E133" s="8">
        <v>0</v>
      </c>
      <c r="F133" s="8">
        <v>-3.4352959189629807E-2</v>
      </c>
      <c r="G133" s="8">
        <v>-0.66665197591091108</v>
      </c>
      <c r="H133" s="8">
        <v>-0.71649603501778525</v>
      </c>
      <c r="I133" s="8">
        <v>1.3930028667687326</v>
      </c>
      <c r="J133" s="8">
        <v>1.317588442740631</v>
      </c>
      <c r="K133" s="8">
        <v>4.5917178042759241</v>
      </c>
      <c r="L133" s="14">
        <v>5.8381104347512816</v>
      </c>
      <c r="AC133" s="7"/>
    </row>
    <row r="134" spans="1:29" x14ac:dyDescent="0.25">
      <c r="A134" s="7"/>
      <c r="C134" s="1" t="s">
        <v>20</v>
      </c>
      <c r="D134" s="8">
        <v>3.3542528244210616E-3</v>
      </c>
      <c r="E134" s="8">
        <v>-1.3552495323829012</v>
      </c>
      <c r="F134" s="8">
        <v>0.21641736045812612</v>
      </c>
      <c r="G134" s="8">
        <v>-3.8137828577511592</v>
      </c>
      <c r="H134" s="8">
        <v>1.3930028667687326</v>
      </c>
      <c r="I134" s="8">
        <v>7.5777754045798629</v>
      </c>
      <c r="J134" s="8">
        <v>4.5917178042759241</v>
      </c>
      <c r="K134" s="8">
        <v>30.200980792856647</v>
      </c>
      <c r="L134" s="14">
        <v>38.814216091629653</v>
      </c>
      <c r="AC134" s="7"/>
    </row>
    <row r="135" spans="1:29" x14ac:dyDescent="0.25">
      <c r="A135" s="7"/>
      <c r="D135" s="14">
        <v>17.751673754772373</v>
      </c>
      <c r="E135" s="14">
        <v>-1.3741989502114731</v>
      </c>
      <c r="F135" s="14">
        <v>1.7947953338946787</v>
      </c>
      <c r="G135" s="14">
        <v>-12.563332310015184</v>
      </c>
      <c r="H135" s="14">
        <v>-4.483525552539473</v>
      </c>
      <c r="I135" s="14">
        <v>8.702923909466973</v>
      </c>
      <c r="J135" s="14">
        <v>5.8381104347512816</v>
      </c>
      <c r="K135" s="14">
        <v>37.536556039000544</v>
      </c>
      <c r="L135" s="2">
        <v>106.40600531823944</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10.859137160216573</v>
      </c>
      <c r="E140" s="8">
        <v>1.473651926523059</v>
      </c>
      <c r="F140" s="8">
        <v>1.8626201126961415</v>
      </c>
      <c r="G140" s="8">
        <v>1.125102255891302E-5</v>
      </c>
      <c r="H140" s="8">
        <v>0.41453004553730011</v>
      </c>
      <c r="I140" s="8">
        <v>0.17160748779886029</v>
      </c>
      <c r="J140" s="8">
        <v>1.0903875447608802E-3</v>
      </c>
      <c r="K140" s="8">
        <v>1.0100909048990403</v>
      </c>
      <c r="L140" s="15">
        <v>15.792739276238294</v>
      </c>
      <c r="AC140" s="7"/>
    </row>
    <row r="141" spans="1:29" x14ac:dyDescent="0.25">
      <c r="A141" s="7"/>
      <c r="C141" s="1" t="s">
        <v>14</v>
      </c>
      <c r="D141" s="8">
        <v>1.4736519265230599</v>
      </c>
      <c r="E141" s="8">
        <v>2.5253703764392892E-2</v>
      </c>
      <c r="F141" s="8">
        <v>1.1251022558914512E-5</v>
      </c>
      <c r="G141" s="8">
        <v>2.1356113910174956</v>
      </c>
      <c r="H141" s="8">
        <v>0.17160748779886018</v>
      </c>
      <c r="I141" s="8">
        <v>2.5253703764392892E-2</v>
      </c>
      <c r="J141" s="8">
        <v>0.99665136639706486</v>
      </c>
      <c r="K141" s="8">
        <v>2.1356113910174956</v>
      </c>
      <c r="L141" s="15">
        <v>6.9636522213053214</v>
      </c>
      <c r="AC141" s="7"/>
    </row>
    <row r="142" spans="1:29" x14ac:dyDescent="0.25">
      <c r="A142" s="7"/>
      <c r="C142" s="1" t="s">
        <v>15</v>
      </c>
      <c r="D142" s="8">
        <v>4.2587674065596799</v>
      </c>
      <c r="E142" s="8">
        <v>1.125102255891302E-5</v>
      </c>
      <c r="F142" s="8">
        <v>1.0349498373244681</v>
      </c>
      <c r="G142" s="8">
        <v>1.1494726345393906</v>
      </c>
      <c r="H142" s="8">
        <v>1.0903875447608601E-3</v>
      </c>
      <c r="I142" s="8">
        <v>1.125102255891302E-5</v>
      </c>
      <c r="J142" s="8">
        <v>1.1802418677262258E-3</v>
      </c>
      <c r="K142" s="8">
        <v>0.22427749521892582</v>
      </c>
      <c r="L142" s="15">
        <v>6.6697605051000712</v>
      </c>
      <c r="AC142" s="7"/>
    </row>
    <row r="143" spans="1:29" x14ac:dyDescent="0.25">
      <c r="A143" s="7"/>
      <c r="C143" s="1" t="s">
        <v>16</v>
      </c>
      <c r="D143" s="8">
        <v>1.125102255891302E-5</v>
      </c>
      <c r="E143" s="8">
        <v>2.1356113910174965</v>
      </c>
      <c r="F143" s="8">
        <v>1.1494726345393906</v>
      </c>
      <c r="G143" s="8">
        <v>10.136897403823586</v>
      </c>
      <c r="H143" s="8">
        <v>1.125102255891302E-5</v>
      </c>
      <c r="I143" s="8">
        <v>0.19867488124818636</v>
      </c>
      <c r="J143" s="8">
        <v>0.22427749521892582</v>
      </c>
      <c r="K143" s="8">
        <v>1.3355658146263314</v>
      </c>
      <c r="L143" s="15">
        <v>15.180522122519033</v>
      </c>
      <c r="AC143" s="7"/>
    </row>
    <row r="144" spans="1:29" x14ac:dyDescent="0.25">
      <c r="A144" s="7"/>
      <c r="C144" s="1" t="s">
        <v>17</v>
      </c>
      <c r="D144" s="8">
        <v>0.41453004553730011</v>
      </c>
      <c r="E144" s="8">
        <v>0.17160748779886029</v>
      </c>
      <c r="F144" s="8">
        <v>1.0903875447608802E-3</v>
      </c>
      <c r="G144" s="8">
        <v>1.125102255891302E-5</v>
      </c>
      <c r="H144" s="8">
        <v>4.3108643235225301</v>
      </c>
      <c r="I144" s="8">
        <v>1.5088519329583354</v>
      </c>
      <c r="J144" s="8">
        <v>0.5357079562569157</v>
      </c>
      <c r="K144" s="8">
        <v>1.0100909048990403</v>
      </c>
      <c r="L144" s="15">
        <v>7.9527542895403016</v>
      </c>
      <c r="AC144" s="7"/>
    </row>
    <row r="145" spans="1:29" x14ac:dyDescent="0.25">
      <c r="A145" s="7"/>
      <c r="C145" s="1" t="s">
        <v>18</v>
      </c>
      <c r="D145" s="8">
        <v>0.17160748779886018</v>
      </c>
      <c r="E145" s="8">
        <v>2.5253703764392892E-2</v>
      </c>
      <c r="F145" s="8">
        <v>1.1251022558914512E-5</v>
      </c>
      <c r="G145" s="8">
        <v>0.198674881248186</v>
      </c>
      <c r="H145" s="8">
        <v>0.17160748779886018</v>
      </c>
      <c r="I145" s="8">
        <v>0.58488926949929443</v>
      </c>
      <c r="J145" s="8">
        <v>1.010090904899041</v>
      </c>
      <c r="K145" s="8">
        <v>4.3822363765841814</v>
      </c>
      <c r="L145" s="15">
        <v>6.544371362615375</v>
      </c>
      <c r="AC145" s="7"/>
    </row>
    <row r="146" spans="1:29" x14ac:dyDescent="0.25">
      <c r="A146" s="7"/>
      <c r="C146" s="1" t="s">
        <v>19</v>
      </c>
      <c r="D146" s="8">
        <v>1.0903875447608601E-3</v>
      </c>
      <c r="E146" s="8">
        <v>0.99665136639706509</v>
      </c>
      <c r="F146" s="8">
        <v>1.1802418677262258E-3</v>
      </c>
      <c r="G146" s="8">
        <v>0.22427749521892582</v>
      </c>
      <c r="H146" s="8">
        <v>0.53570795625691536</v>
      </c>
      <c r="I146" s="8">
        <v>1.0100909048990403</v>
      </c>
      <c r="J146" s="8">
        <v>0.89987145549750058</v>
      </c>
      <c r="K146" s="8">
        <v>3.688862675800634</v>
      </c>
      <c r="L146" s="15">
        <v>7.3577324834825681</v>
      </c>
      <c r="AC146" s="7"/>
    </row>
    <row r="147" spans="1:29" x14ac:dyDescent="0.25">
      <c r="A147" s="7"/>
      <c r="C147" s="1" t="s">
        <v>20</v>
      </c>
      <c r="D147" s="8">
        <v>1.125102255891302E-5</v>
      </c>
      <c r="E147" s="8">
        <v>2.1356113910174965</v>
      </c>
      <c r="F147" s="8">
        <v>1.5618929684817746E-2</v>
      </c>
      <c r="G147" s="8">
        <v>1.3355658146263314</v>
      </c>
      <c r="H147" s="8">
        <v>1.0100909048990403</v>
      </c>
      <c r="I147" s="8">
        <v>6.7662462933243948</v>
      </c>
      <c r="J147" s="8">
        <v>3.688862675800634</v>
      </c>
      <c r="K147" s="8">
        <v>26.857310302958698</v>
      </c>
      <c r="L147" s="15">
        <v>41.80931756333397</v>
      </c>
      <c r="N147">
        <v>0.9999884735439446</v>
      </c>
      <c r="AC147" s="7"/>
    </row>
    <row r="148" spans="1:29" x14ac:dyDescent="0.25">
      <c r="A148" s="7"/>
      <c r="B148" s="7"/>
      <c r="C148" s="7"/>
      <c r="D148" s="15">
        <v>17.178806916225351</v>
      </c>
      <c r="E148" s="15">
        <v>6.9636522213053222</v>
      </c>
      <c r="F148" s="15">
        <v>4.0649546457024242</v>
      </c>
      <c r="G148" s="15">
        <v>15.180522122519033</v>
      </c>
      <c r="H148" s="15">
        <v>6.6155098443808251</v>
      </c>
      <c r="I148" s="15">
        <v>10.265625724515063</v>
      </c>
      <c r="J148" s="15">
        <v>7.357732483482569</v>
      </c>
      <c r="K148" s="15">
        <v>40.644045866004348</v>
      </c>
      <c r="L148" s="16">
        <v>108.27084982413493</v>
      </c>
      <c r="M148" t="s">
        <v>11</v>
      </c>
      <c r="N148" s="7">
        <v>1.1526456055399592E-5</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workbookViewId="0">
      <selection activeCell="D15" sqref="D15"/>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0.25</v>
      </c>
      <c r="B2" s="19">
        <v>0.2</v>
      </c>
      <c r="C2" s="19">
        <v>0.15</v>
      </c>
      <c r="D2" s="19">
        <v>0</v>
      </c>
      <c r="E2" s="19">
        <v>0</v>
      </c>
      <c r="F2" s="19">
        <v>4.6343449223436292E-2</v>
      </c>
      <c r="G2" s="19">
        <v>0.53245995826428494</v>
      </c>
      <c r="H2" s="19">
        <v>0.25922681201924097</v>
      </c>
      <c r="I2" s="19">
        <v>0.11732937805693602</v>
      </c>
      <c r="J2" s="19">
        <v>4.4640404373078459E-2</v>
      </c>
      <c r="K2" s="19">
        <v>0</v>
      </c>
      <c r="L2" s="1">
        <v>1.0000000019369766</v>
      </c>
      <c r="N2" t="s">
        <v>36</v>
      </c>
      <c r="O2" s="4">
        <v>0.59499999999999997</v>
      </c>
      <c r="P2" s="4">
        <v>0.59499999999999997</v>
      </c>
      <c r="AC2" s="7"/>
    </row>
    <row r="3" spans="1:29" x14ac:dyDescent="0.25">
      <c r="A3" t="s">
        <v>79</v>
      </c>
      <c r="B3" s="21">
        <v>612.65194387963368</v>
      </c>
      <c r="C3" s="18" t="s">
        <v>12</v>
      </c>
      <c r="D3" s="1" t="s">
        <v>13</v>
      </c>
      <c r="E3" s="1" t="s">
        <v>14</v>
      </c>
      <c r="F3" s="1" t="s">
        <v>15</v>
      </c>
      <c r="G3" s="1" t="s">
        <v>16</v>
      </c>
      <c r="H3" s="1" t="s">
        <v>17</v>
      </c>
      <c r="I3" s="1" t="s">
        <v>18</v>
      </c>
      <c r="J3" s="1" t="s">
        <v>19</v>
      </c>
      <c r="K3" s="1" t="s">
        <v>20</v>
      </c>
      <c r="L3" s="1"/>
      <c r="N3" t="s">
        <v>37</v>
      </c>
      <c r="O3" s="4">
        <v>0.60499999999999998</v>
      </c>
      <c r="P3" s="4">
        <v>0.6</v>
      </c>
      <c r="Q3" t="s">
        <v>55</v>
      </c>
      <c r="Y3" s="1" t="s">
        <v>12</v>
      </c>
      <c r="Z3" t="s">
        <v>47</v>
      </c>
      <c r="AA3" t="s">
        <v>48</v>
      </c>
      <c r="AB3" t="s">
        <v>49</v>
      </c>
      <c r="AC3" s="7"/>
    </row>
    <row r="4" spans="1:29" x14ac:dyDescent="0.25">
      <c r="A4" t="s">
        <v>21</v>
      </c>
      <c r="B4">
        <v>1.6113785956870313E-99</v>
      </c>
      <c r="C4" s="1" t="s">
        <v>13</v>
      </c>
      <c r="D4">
        <v>17</v>
      </c>
      <c r="E4">
        <v>3</v>
      </c>
      <c r="F4">
        <v>4</v>
      </c>
      <c r="G4">
        <v>1</v>
      </c>
      <c r="H4">
        <v>6</v>
      </c>
      <c r="I4">
        <v>1</v>
      </c>
      <c r="J4">
        <v>2</v>
      </c>
      <c r="K4">
        <v>2</v>
      </c>
      <c r="L4" s="1">
        <v>36</v>
      </c>
      <c r="N4" t="s">
        <v>38</v>
      </c>
      <c r="O4" s="4">
        <v>0.6</v>
      </c>
      <c r="P4" s="4">
        <v>0.59499999999999997</v>
      </c>
      <c r="Q4" t="s">
        <v>56</v>
      </c>
      <c r="T4" t="s">
        <v>44</v>
      </c>
      <c r="V4" t="s">
        <v>57</v>
      </c>
      <c r="Y4" s="1" t="s">
        <v>13</v>
      </c>
      <c r="Z4">
        <v>36</v>
      </c>
      <c r="AA4">
        <v>17</v>
      </c>
      <c r="AB4">
        <v>19</v>
      </c>
      <c r="AC4" s="7"/>
    </row>
    <row r="5" spans="1:29" x14ac:dyDescent="0.25">
      <c r="C5" s="1" t="s">
        <v>14</v>
      </c>
      <c r="D5">
        <v>3</v>
      </c>
      <c r="E5">
        <v>1</v>
      </c>
      <c r="F5">
        <v>1</v>
      </c>
      <c r="G5">
        <v>1</v>
      </c>
      <c r="H5">
        <v>1</v>
      </c>
      <c r="I5">
        <v>1</v>
      </c>
      <c r="J5">
        <v>0</v>
      </c>
      <c r="K5">
        <v>1</v>
      </c>
      <c r="L5" s="1">
        <v>9</v>
      </c>
      <c r="M5" s="10" t="s">
        <v>39</v>
      </c>
      <c r="N5" s="10">
        <v>1</v>
      </c>
      <c r="O5" s="10">
        <v>2</v>
      </c>
      <c r="P5" s="10" t="s">
        <v>39</v>
      </c>
      <c r="Q5" s="10">
        <v>1</v>
      </c>
      <c r="R5" s="10">
        <v>2</v>
      </c>
      <c r="S5" s="10" t="s">
        <v>39</v>
      </c>
      <c r="T5" s="10">
        <v>1</v>
      </c>
      <c r="U5" s="10">
        <v>2</v>
      </c>
      <c r="V5" s="10" t="s">
        <v>11</v>
      </c>
      <c r="W5" t="s">
        <v>42</v>
      </c>
      <c r="X5" t="s">
        <v>43</v>
      </c>
      <c r="Y5" s="1" t="s">
        <v>14</v>
      </c>
      <c r="Z5">
        <v>9</v>
      </c>
      <c r="AA5">
        <v>1</v>
      </c>
      <c r="AB5">
        <v>8</v>
      </c>
      <c r="AC5" s="7"/>
    </row>
    <row r="6" spans="1:29" x14ac:dyDescent="0.25">
      <c r="A6" t="s">
        <v>22</v>
      </c>
      <c r="B6" s="20">
        <v>0.25</v>
      </c>
      <c r="C6" s="1" t="s">
        <v>15</v>
      </c>
      <c r="D6">
        <v>5</v>
      </c>
      <c r="E6">
        <v>1</v>
      </c>
      <c r="F6">
        <v>0</v>
      </c>
      <c r="G6">
        <v>1</v>
      </c>
      <c r="H6">
        <v>2</v>
      </c>
      <c r="I6">
        <v>1</v>
      </c>
      <c r="J6">
        <v>1</v>
      </c>
      <c r="K6">
        <v>2</v>
      </c>
      <c r="L6" s="1">
        <v>13</v>
      </c>
      <c r="M6" s="10">
        <v>1</v>
      </c>
      <c r="N6">
        <v>44</v>
      </c>
      <c r="O6">
        <v>37</v>
      </c>
      <c r="P6" s="10">
        <v>1</v>
      </c>
      <c r="Q6">
        <v>32.805</v>
      </c>
      <c r="R6">
        <v>48.195</v>
      </c>
      <c r="S6" s="10">
        <v>1</v>
      </c>
      <c r="T6">
        <v>3.8203939948178633</v>
      </c>
      <c r="U6">
        <v>2.6004362485735038</v>
      </c>
      <c r="V6" s="12">
        <v>10.791311333430867</v>
      </c>
      <c r="W6">
        <v>0.99898022384529428</v>
      </c>
      <c r="X6" s="12">
        <v>1.0197761547057205E-3</v>
      </c>
      <c r="Y6" s="1" t="s">
        <v>15</v>
      </c>
      <c r="Z6">
        <v>13</v>
      </c>
      <c r="AA6">
        <v>0</v>
      </c>
      <c r="AB6">
        <v>13</v>
      </c>
      <c r="AC6" s="7"/>
    </row>
    <row r="7" spans="1:29" x14ac:dyDescent="0.25">
      <c r="A7" t="s">
        <v>23</v>
      </c>
      <c r="B7" s="20">
        <v>0.2</v>
      </c>
      <c r="C7" s="1" t="s">
        <v>16</v>
      </c>
      <c r="D7">
        <v>1</v>
      </c>
      <c r="E7">
        <v>1</v>
      </c>
      <c r="F7">
        <v>1</v>
      </c>
      <c r="G7">
        <v>3</v>
      </c>
      <c r="H7">
        <v>1</v>
      </c>
      <c r="I7">
        <v>3</v>
      </c>
      <c r="J7">
        <v>2</v>
      </c>
      <c r="K7">
        <v>11</v>
      </c>
      <c r="L7" s="1">
        <v>23</v>
      </c>
      <c r="M7" s="10">
        <v>2</v>
      </c>
      <c r="N7">
        <v>37</v>
      </c>
      <c r="O7">
        <v>82</v>
      </c>
      <c r="P7" s="10">
        <v>2</v>
      </c>
      <c r="Q7">
        <v>48.195</v>
      </c>
      <c r="R7">
        <v>70.805000000000007</v>
      </c>
      <c r="S7" s="10">
        <v>2</v>
      </c>
      <c r="T7">
        <v>2.6004362485735038</v>
      </c>
      <c r="U7">
        <v>1.7700448414659957</v>
      </c>
      <c r="Y7" s="1" t="s">
        <v>16</v>
      </c>
      <c r="Z7">
        <v>23</v>
      </c>
      <c r="AA7">
        <v>3</v>
      </c>
      <c r="AB7">
        <v>20</v>
      </c>
      <c r="AC7" s="7"/>
    </row>
    <row r="8" spans="1:29" x14ac:dyDescent="0.25">
      <c r="A8" t="s">
        <v>24</v>
      </c>
      <c r="B8" s="20">
        <v>0.15</v>
      </c>
      <c r="C8" s="1" t="s">
        <v>17</v>
      </c>
      <c r="D8">
        <v>6</v>
      </c>
      <c r="E8">
        <v>1</v>
      </c>
      <c r="F8">
        <v>2</v>
      </c>
      <c r="G8">
        <v>1</v>
      </c>
      <c r="H8">
        <v>2</v>
      </c>
      <c r="I8">
        <v>0</v>
      </c>
      <c r="J8">
        <v>1</v>
      </c>
      <c r="K8">
        <v>2</v>
      </c>
      <c r="L8" s="1">
        <v>15</v>
      </c>
      <c r="M8" s="10" t="s">
        <v>40</v>
      </c>
      <c r="N8">
        <v>1</v>
      </c>
      <c r="O8">
        <v>2</v>
      </c>
      <c r="P8" s="10" t="s">
        <v>40</v>
      </c>
      <c r="S8" s="10" t="s">
        <v>40</v>
      </c>
      <c r="Y8" s="1" t="s">
        <v>17</v>
      </c>
      <c r="Z8">
        <v>15</v>
      </c>
      <c r="AA8">
        <v>2</v>
      </c>
      <c r="AB8">
        <v>13</v>
      </c>
      <c r="AC8" s="7"/>
    </row>
    <row r="9" spans="1:29" x14ac:dyDescent="0.25">
      <c r="C9" s="1" t="s">
        <v>18</v>
      </c>
      <c r="D9">
        <v>1</v>
      </c>
      <c r="E9">
        <v>1</v>
      </c>
      <c r="F9">
        <v>1</v>
      </c>
      <c r="G9">
        <v>3</v>
      </c>
      <c r="H9">
        <v>1</v>
      </c>
      <c r="I9">
        <v>2</v>
      </c>
      <c r="J9">
        <v>2</v>
      </c>
      <c r="K9">
        <v>8</v>
      </c>
      <c r="L9" s="1">
        <v>19</v>
      </c>
      <c r="M9" s="10">
        <v>1</v>
      </c>
      <c r="N9">
        <v>47</v>
      </c>
      <c r="O9">
        <v>32</v>
      </c>
      <c r="P9" s="10">
        <v>1</v>
      </c>
      <c r="Q9">
        <v>31.6</v>
      </c>
      <c r="R9">
        <v>47.4</v>
      </c>
      <c r="S9" s="10">
        <v>1</v>
      </c>
      <c r="T9">
        <v>7.5050632911392388</v>
      </c>
      <c r="U9">
        <v>5.0033755274261598</v>
      </c>
      <c r="V9" s="12">
        <v>20.675105485232066</v>
      </c>
      <c r="W9">
        <v>0.99999455810598126</v>
      </c>
      <c r="X9" s="12">
        <v>5.4418940187428433E-6</v>
      </c>
      <c r="Y9" s="1" t="s">
        <v>18</v>
      </c>
      <c r="Z9">
        <v>19</v>
      </c>
      <c r="AA9">
        <v>2</v>
      </c>
      <c r="AB9">
        <v>17</v>
      </c>
      <c r="AC9" s="7"/>
    </row>
    <row r="10" spans="1:29" x14ac:dyDescent="0.25">
      <c r="A10" s="7"/>
      <c r="C10" s="1" t="s">
        <v>19</v>
      </c>
      <c r="D10">
        <v>2</v>
      </c>
      <c r="E10">
        <v>0</v>
      </c>
      <c r="F10">
        <v>1</v>
      </c>
      <c r="G10">
        <v>2</v>
      </c>
      <c r="H10">
        <v>1</v>
      </c>
      <c r="I10">
        <v>2</v>
      </c>
      <c r="J10">
        <v>2</v>
      </c>
      <c r="K10">
        <v>6</v>
      </c>
      <c r="L10" s="1">
        <v>16</v>
      </c>
      <c r="M10" s="10">
        <v>2</v>
      </c>
      <c r="N10">
        <v>33</v>
      </c>
      <c r="O10">
        <v>88</v>
      </c>
      <c r="P10" s="10">
        <v>2</v>
      </c>
      <c r="Q10">
        <v>48.4</v>
      </c>
      <c r="R10">
        <v>72.599999999999994</v>
      </c>
      <c r="S10" s="10">
        <v>2</v>
      </c>
      <c r="T10">
        <v>4.8999999999999995</v>
      </c>
      <c r="U10">
        <v>3.2666666666666693</v>
      </c>
      <c r="Y10" s="1" t="s">
        <v>19</v>
      </c>
      <c r="Z10">
        <v>16</v>
      </c>
      <c r="AA10">
        <v>2</v>
      </c>
      <c r="AB10">
        <v>14</v>
      </c>
      <c r="AC10" s="7"/>
    </row>
    <row r="11" spans="1:29" x14ac:dyDescent="0.25">
      <c r="A11" s="7">
        <v>0</v>
      </c>
      <c r="B11" s="6">
        <v>0</v>
      </c>
      <c r="C11" s="1" t="s">
        <v>20</v>
      </c>
      <c r="D11">
        <v>1</v>
      </c>
      <c r="E11">
        <v>1</v>
      </c>
      <c r="F11">
        <v>3</v>
      </c>
      <c r="G11">
        <v>11</v>
      </c>
      <c r="H11">
        <v>2</v>
      </c>
      <c r="I11">
        <v>9</v>
      </c>
      <c r="J11">
        <v>6</v>
      </c>
      <c r="K11">
        <v>36</v>
      </c>
      <c r="L11" s="1">
        <v>69</v>
      </c>
      <c r="M11" s="10" t="s">
        <v>41</v>
      </c>
      <c r="N11">
        <v>1</v>
      </c>
      <c r="O11">
        <v>2</v>
      </c>
      <c r="P11" s="10" t="s">
        <v>41</v>
      </c>
      <c r="S11" s="10" t="s">
        <v>41</v>
      </c>
      <c r="Y11" s="1" t="s">
        <v>20</v>
      </c>
      <c r="Z11">
        <v>69</v>
      </c>
      <c r="AA11">
        <v>36</v>
      </c>
      <c r="AB11">
        <v>33</v>
      </c>
      <c r="AC11" s="7"/>
    </row>
    <row r="12" spans="1:29" x14ac:dyDescent="0.25">
      <c r="A12" s="7"/>
      <c r="B12" s="6"/>
      <c r="C12" s="1"/>
      <c r="D12" s="1">
        <v>36</v>
      </c>
      <c r="E12" s="1">
        <v>9</v>
      </c>
      <c r="F12" s="1">
        <v>13</v>
      </c>
      <c r="G12" s="1">
        <v>23</v>
      </c>
      <c r="H12" s="1">
        <v>16</v>
      </c>
      <c r="I12" s="1">
        <v>19</v>
      </c>
      <c r="J12" s="1">
        <v>16</v>
      </c>
      <c r="K12" s="1">
        <v>68</v>
      </c>
      <c r="L12" s="1">
        <v>200</v>
      </c>
      <c r="M12" s="10">
        <v>1</v>
      </c>
      <c r="N12">
        <v>54</v>
      </c>
      <c r="O12">
        <v>26</v>
      </c>
      <c r="P12" s="10">
        <v>1</v>
      </c>
      <c r="Q12">
        <v>32.4</v>
      </c>
      <c r="R12">
        <v>47.6</v>
      </c>
      <c r="S12" s="10">
        <v>1</v>
      </c>
      <c r="T12">
        <v>14.400000000000002</v>
      </c>
      <c r="U12">
        <v>9.8016806722689083</v>
      </c>
      <c r="V12" s="12">
        <v>40.336134453781519</v>
      </c>
      <c r="W12">
        <v>0.99999999978618248</v>
      </c>
      <c r="X12" s="12">
        <v>2.1381751924565151E-10</v>
      </c>
      <c r="Y12" s="1" t="s">
        <v>46</v>
      </c>
      <c r="Z12" s="7">
        <v>200</v>
      </c>
      <c r="AA12" s="7">
        <v>63</v>
      </c>
      <c r="AB12" s="7">
        <v>137</v>
      </c>
      <c r="AC12" s="7"/>
    </row>
    <row r="13" spans="1:29" x14ac:dyDescent="0.25">
      <c r="A13" s="7"/>
      <c r="C13" s="1" t="s">
        <v>25</v>
      </c>
      <c r="D13" s="4">
        <v>0</v>
      </c>
      <c r="E13" s="4">
        <v>0</v>
      </c>
      <c r="F13" s="4">
        <v>0</v>
      </c>
      <c r="G13" s="4">
        <v>0</v>
      </c>
      <c r="H13" s="4">
        <v>0</v>
      </c>
      <c r="I13" s="4">
        <v>0</v>
      </c>
      <c r="J13" s="4">
        <v>0</v>
      </c>
      <c r="K13" s="4">
        <v>0</v>
      </c>
      <c r="M13" s="10">
        <v>2</v>
      </c>
      <c r="N13">
        <v>27</v>
      </c>
      <c r="O13">
        <v>93</v>
      </c>
      <c r="P13" s="10">
        <v>2</v>
      </c>
      <c r="Q13">
        <v>48.6</v>
      </c>
      <c r="R13">
        <v>71.400000000000006</v>
      </c>
      <c r="S13" s="10">
        <v>2</v>
      </c>
      <c r="T13">
        <v>9.6000000000000014</v>
      </c>
      <c r="U13">
        <v>6.5344537815126014</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0.51</v>
      </c>
      <c r="C15" s="1" t="s">
        <v>13</v>
      </c>
      <c r="D15" s="4">
        <v>0</v>
      </c>
      <c r="E15" s="4">
        <v>0</v>
      </c>
      <c r="F15" s="4">
        <v>0</v>
      </c>
      <c r="G15" s="4">
        <v>0</v>
      </c>
      <c r="H15" s="4">
        <v>0</v>
      </c>
      <c r="I15" s="4">
        <v>0</v>
      </c>
      <c r="J15" s="4">
        <v>0</v>
      </c>
      <c r="K15" s="4">
        <v>0</v>
      </c>
      <c r="AC15" s="7"/>
    </row>
    <row r="16" spans="1:29" x14ac:dyDescent="0.25">
      <c r="A16" s="7"/>
      <c r="B16" s="4">
        <v>9.0000000000000011E-2</v>
      </c>
      <c r="C16" s="1" t="s">
        <v>14</v>
      </c>
      <c r="D16" s="4">
        <v>0</v>
      </c>
      <c r="E16" s="4">
        <v>0</v>
      </c>
      <c r="F16" s="4">
        <v>0</v>
      </c>
      <c r="G16" s="4">
        <v>0</v>
      </c>
      <c r="H16" s="4">
        <v>0</v>
      </c>
      <c r="I16" s="4">
        <v>0</v>
      </c>
      <c r="J16" s="4">
        <v>0</v>
      </c>
      <c r="K16" s="4">
        <v>0</v>
      </c>
      <c r="O16" s="8"/>
      <c r="AC16" s="7"/>
    </row>
    <row r="17" spans="1:29" x14ac:dyDescent="0.25">
      <c r="A17" s="7"/>
      <c r="B17" s="4">
        <v>0.1275</v>
      </c>
      <c r="C17" s="1" t="s">
        <v>15</v>
      </c>
      <c r="D17" s="4">
        <v>0</v>
      </c>
      <c r="E17" s="4">
        <v>0</v>
      </c>
      <c r="F17" s="4">
        <v>0</v>
      </c>
      <c r="G17" s="4">
        <v>0</v>
      </c>
      <c r="H17" s="4">
        <v>0</v>
      </c>
      <c r="I17" s="4">
        <v>0</v>
      </c>
      <c r="J17" s="4">
        <v>0</v>
      </c>
      <c r="K17" s="4">
        <v>0</v>
      </c>
      <c r="AC17" s="7"/>
    </row>
    <row r="18" spans="1:29" x14ac:dyDescent="0.25">
      <c r="A18" s="7"/>
      <c r="B18" s="4">
        <v>2.2500000000000003E-2</v>
      </c>
      <c r="C18" s="1" t="s">
        <v>16</v>
      </c>
      <c r="D18" s="4">
        <v>0</v>
      </c>
      <c r="E18" s="4">
        <v>0</v>
      </c>
      <c r="F18" s="4">
        <v>0</v>
      </c>
      <c r="G18" s="4">
        <v>0</v>
      </c>
      <c r="H18" s="4">
        <v>0</v>
      </c>
      <c r="I18" s="4">
        <v>0</v>
      </c>
      <c r="J18" s="4">
        <v>0</v>
      </c>
      <c r="K18" s="4">
        <v>0</v>
      </c>
      <c r="AC18" s="7"/>
    </row>
    <row r="19" spans="1:29" x14ac:dyDescent="0.25">
      <c r="A19" s="7"/>
      <c r="B19" s="4">
        <v>0.17</v>
      </c>
      <c r="C19" s="1" t="s">
        <v>17</v>
      </c>
      <c r="D19" s="4">
        <v>0</v>
      </c>
      <c r="E19" s="4">
        <v>0</v>
      </c>
      <c r="F19" s="4">
        <v>0</v>
      </c>
      <c r="G19" s="4">
        <v>0</v>
      </c>
      <c r="H19" s="4">
        <v>0</v>
      </c>
      <c r="I19" s="4">
        <v>0</v>
      </c>
      <c r="J19" s="4">
        <v>0</v>
      </c>
      <c r="K19" s="4">
        <v>0</v>
      </c>
      <c r="AC19" s="7"/>
    </row>
    <row r="20" spans="1:29" x14ac:dyDescent="0.25">
      <c r="A20" s="7"/>
      <c r="B20" s="4">
        <v>0.03</v>
      </c>
      <c r="C20" s="1" t="s">
        <v>18</v>
      </c>
      <c r="D20" s="4">
        <v>0</v>
      </c>
      <c r="E20" s="4">
        <v>0</v>
      </c>
      <c r="F20" s="4">
        <v>0</v>
      </c>
      <c r="G20" s="4">
        <v>0</v>
      </c>
      <c r="H20" s="4">
        <v>0</v>
      </c>
      <c r="I20" s="4">
        <v>0</v>
      </c>
      <c r="J20" s="4">
        <v>0</v>
      </c>
      <c r="K20" s="4">
        <v>0</v>
      </c>
      <c r="AC20" s="7"/>
    </row>
    <row r="21" spans="1:29" x14ac:dyDescent="0.25">
      <c r="A21" s="7"/>
      <c r="B21" s="4">
        <v>4.2500000000000003E-2</v>
      </c>
      <c r="C21" s="1" t="s">
        <v>19</v>
      </c>
      <c r="D21" s="4">
        <v>0</v>
      </c>
      <c r="E21" s="4">
        <v>0</v>
      </c>
      <c r="F21" s="4">
        <v>0</v>
      </c>
      <c r="G21" s="4">
        <v>0</v>
      </c>
      <c r="H21" s="4">
        <v>0</v>
      </c>
      <c r="I21" s="4">
        <v>0</v>
      </c>
      <c r="J21" s="4">
        <v>0</v>
      </c>
      <c r="K21" s="4">
        <v>0</v>
      </c>
      <c r="M21" t="s">
        <v>62</v>
      </c>
      <c r="AC21" s="7"/>
    </row>
    <row r="22" spans="1:29" x14ac:dyDescent="0.25">
      <c r="A22" s="7"/>
      <c r="B22" s="4">
        <v>7.4999999999999997E-3</v>
      </c>
      <c r="C22" s="1" t="s">
        <v>20</v>
      </c>
      <c r="D22" s="4">
        <v>0</v>
      </c>
      <c r="E22" s="4">
        <v>0</v>
      </c>
      <c r="F22" s="4">
        <v>0</v>
      </c>
      <c r="G22" s="4">
        <v>0</v>
      </c>
      <c r="H22" s="4">
        <v>0</v>
      </c>
      <c r="I22" s="4">
        <v>0</v>
      </c>
      <c r="J22" s="4">
        <v>0</v>
      </c>
      <c r="K22" s="4">
        <v>0</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6.5610000000000016E-2</v>
      </c>
      <c r="P24">
        <v>9.6390000000000017E-2</v>
      </c>
      <c r="Q24">
        <v>9.8415000000000002E-2</v>
      </c>
      <c r="R24">
        <v>0.14458499999999999</v>
      </c>
      <c r="S24">
        <v>9.6390000000000003E-2</v>
      </c>
      <c r="T24">
        <v>0.14160999999999999</v>
      </c>
      <c r="U24">
        <v>0.14458499999999999</v>
      </c>
      <c r="V24">
        <v>0.21241499999999999</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9.0000000000000011E-2</v>
      </c>
      <c r="C26" s="1" t="s">
        <v>13</v>
      </c>
      <c r="D26" s="4">
        <v>0</v>
      </c>
      <c r="E26" s="4">
        <v>0</v>
      </c>
      <c r="F26" s="4">
        <v>0</v>
      </c>
      <c r="G26" s="4">
        <v>0</v>
      </c>
      <c r="H26" s="4">
        <v>0</v>
      </c>
      <c r="I26" s="4">
        <v>0</v>
      </c>
      <c r="J26" s="4">
        <v>0</v>
      </c>
      <c r="K26" s="4">
        <v>0</v>
      </c>
      <c r="M26" s="4">
        <v>6.3990000000000005E-2</v>
      </c>
      <c r="N26" s="1" t="s">
        <v>13</v>
      </c>
      <c r="O26">
        <v>4.1983839000000016E-3</v>
      </c>
      <c r="P26">
        <v>6.1679961000000016E-3</v>
      </c>
      <c r="Q26">
        <v>6.2975758500000006E-3</v>
      </c>
      <c r="R26">
        <v>9.2519941499999998E-3</v>
      </c>
      <c r="S26">
        <v>6.1679961000000007E-3</v>
      </c>
      <c r="T26">
        <v>9.0616238999999994E-3</v>
      </c>
      <c r="U26">
        <v>9.2519941499999998E-3</v>
      </c>
      <c r="V26">
        <v>1.3592435850000001E-2</v>
      </c>
      <c r="AC26" s="7"/>
    </row>
    <row r="27" spans="1:29" x14ac:dyDescent="0.25">
      <c r="A27" s="7"/>
      <c r="B27" s="4">
        <v>0.51</v>
      </c>
      <c r="C27" s="1" t="s">
        <v>14</v>
      </c>
      <c r="D27" s="4">
        <v>0</v>
      </c>
      <c r="E27" s="4">
        <v>0</v>
      </c>
      <c r="F27" s="4">
        <v>0</v>
      </c>
      <c r="G27" s="4">
        <v>0</v>
      </c>
      <c r="H27" s="4">
        <v>0</v>
      </c>
      <c r="I27" s="4">
        <v>0</v>
      </c>
      <c r="J27" s="4">
        <v>0</v>
      </c>
      <c r="K27" s="4">
        <v>0</v>
      </c>
      <c r="M27" s="4">
        <v>9.5985000000000001E-2</v>
      </c>
      <c r="N27" s="1" t="s">
        <v>14</v>
      </c>
      <c r="O27">
        <v>6.2975758500000015E-3</v>
      </c>
      <c r="P27">
        <v>9.2519941500000015E-3</v>
      </c>
      <c r="Q27">
        <v>9.446363775000001E-3</v>
      </c>
      <c r="R27">
        <v>1.3877991224999999E-2</v>
      </c>
      <c r="S27">
        <v>9.2519941499999998E-3</v>
      </c>
      <c r="T27">
        <v>1.3592435849999999E-2</v>
      </c>
      <c r="U27">
        <v>1.3877991224999999E-2</v>
      </c>
      <c r="V27">
        <v>2.0388653774999998E-2</v>
      </c>
      <c r="AC27" s="7"/>
    </row>
    <row r="28" spans="1:29" x14ac:dyDescent="0.25">
      <c r="A28" s="7"/>
      <c r="B28" s="4">
        <v>2.2500000000000003E-2</v>
      </c>
      <c r="C28" s="1" t="s">
        <v>15</v>
      </c>
      <c r="D28" s="4">
        <v>0</v>
      </c>
      <c r="E28" s="4">
        <v>0</v>
      </c>
      <c r="F28" s="4">
        <v>0</v>
      </c>
      <c r="G28" s="4">
        <v>0</v>
      </c>
      <c r="H28" s="4">
        <v>0</v>
      </c>
      <c r="I28" s="4">
        <v>0</v>
      </c>
      <c r="J28" s="4">
        <v>0</v>
      </c>
      <c r="K28" s="4">
        <v>0</v>
      </c>
      <c r="M28" s="4">
        <v>9.8010000000000014E-2</v>
      </c>
      <c r="N28" s="1" t="s">
        <v>15</v>
      </c>
      <c r="O28">
        <v>6.4304361000000025E-3</v>
      </c>
      <c r="P28">
        <v>9.447183900000003E-3</v>
      </c>
      <c r="Q28">
        <v>9.645654150000002E-3</v>
      </c>
      <c r="R28">
        <v>1.4170775850000001E-2</v>
      </c>
      <c r="S28">
        <v>9.4471839000000012E-3</v>
      </c>
      <c r="T28">
        <v>1.3879196100000001E-2</v>
      </c>
      <c r="U28">
        <v>1.4170775850000001E-2</v>
      </c>
      <c r="V28">
        <v>2.0818794150000004E-2</v>
      </c>
      <c r="AC28" s="7"/>
    </row>
    <row r="29" spans="1:29" x14ac:dyDescent="0.25">
      <c r="A29" s="7"/>
      <c r="B29" s="4">
        <v>0.1275</v>
      </c>
      <c r="C29" s="1" t="s">
        <v>16</v>
      </c>
      <c r="D29" s="4">
        <v>0</v>
      </c>
      <c r="E29" s="4">
        <v>0</v>
      </c>
      <c r="F29" s="4">
        <v>0</v>
      </c>
      <c r="G29" s="4">
        <v>0</v>
      </c>
      <c r="H29" s="4">
        <v>0</v>
      </c>
      <c r="I29" s="4">
        <v>0</v>
      </c>
      <c r="J29" s="4">
        <v>0</v>
      </c>
      <c r="K29" s="4">
        <v>0</v>
      </c>
      <c r="M29" s="4">
        <v>0.14701500000000001</v>
      </c>
      <c r="N29" s="1" t="s">
        <v>16</v>
      </c>
      <c r="O29">
        <v>9.645654150000002E-3</v>
      </c>
      <c r="P29">
        <v>1.4170775850000003E-2</v>
      </c>
      <c r="Q29">
        <v>1.4468481225000001E-2</v>
      </c>
      <c r="R29">
        <v>2.1256163775E-2</v>
      </c>
      <c r="S29">
        <v>1.4170775850000001E-2</v>
      </c>
      <c r="T29">
        <v>2.081879415E-2</v>
      </c>
      <c r="U29">
        <v>2.1256163775E-2</v>
      </c>
      <c r="V29">
        <v>3.1228191225E-2</v>
      </c>
      <c r="AC29" s="7"/>
    </row>
    <row r="30" spans="1:29" x14ac:dyDescent="0.25">
      <c r="A30" s="7"/>
      <c r="B30" s="4">
        <v>0.03</v>
      </c>
      <c r="C30" s="1" t="s">
        <v>17</v>
      </c>
      <c r="D30" s="4">
        <v>0</v>
      </c>
      <c r="E30" s="4">
        <v>0</v>
      </c>
      <c r="F30" s="4">
        <v>0</v>
      </c>
      <c r="G30" s="4">
        <v>0</v>
      </c>
      <c r="H30" s="4">
        <v>0</v>
      </c>
      <c r="I30" s="4">
        <v>0</v>
      </c>
      <c r="J30" s="4">
        <v>0</v>
      </c>
      <c r="K30" s="4">
        <v>0</v>
      </c>
      <c r="M30" s="4">
        <v>9.401000000000001E-2</v>
      </c>
      <c r="N30" s="1" t="s">
        <v>17</v>
      </c>
      <c r="O30">
        <v>6.1679961000000024E-3</v>
      </c>
      <c r="P30">
        <v>9.0616239000000029E-3</v>
      </c>
      <c r="Q30">
        <v>9.2519941500000015E-3</v>
      </c>
      <c r="R30">
        <v>1.3592435850000001E-2</v>
      </c>
      <c r="S30">
        <v>9.0616239000000012E-3</v>
      </c>
      <c r="T30">
        <v>1.33127561E-2</v>
      </c>
      <c r="U30">
        <v>1.3592435850000001E-2</v>
      </c>
      <c r="V30">
        <v>1.9969134150000001E-2</v>
      </c>
      <c r="AC30" s="7"/>
    </row>
    <row r="31" spans="1:29" x14ac:dyDescent="0.25">
      <c r="A31" s="7"/>
      <c r="B31" s="4">
        <v>0.17</v>
      </c>
      <c r="C31" s="1" t="s">
        <v>18</v>
      </c>
      <c r="D31" s="4">
        <v>0</v>
      </c>
      <c r="E31" s="4">
        <v>0</v>
      </c>
      <c r="F31" s="4">
        <v>0</v>
      </c>
      <c r="G31" s="4">
        <v>0</v>
      </c>
      <c r="H31" s="4">
        <v>0</v>
      </c>
      <c r="I31" s="4">
        <v>0</v>
      </c>
      <c r="J31" s="4">
        <v>0</v>
      </c>
      <c r="K31" s="4">
        <v>0</v>
      </c>
      <c r="M31" s="4">
        <v>0.141015</v>
      </c>
      <c r="N31" s="1" t="s">
        <v>18</v>
      </c>
      <c r="O31">
        <v>9.2519941500000015E-3</v>
      </c>
      <c r="P31">
        <v>1.3592435850000003E-2</v>
      </c>
      <c r="Q31">
        <v>1.3877991225000001E-2</v>
      </c>
      <c r="R31">
        <v>2.0388653774999998E-2</v>
      </c>
      <c r="S31">
        <v>1.3592435850000001E-2</v>
      </c>
      <c r="T31">
        <v>1.9969134149999998E-2</v>
      </c>
      <c r="U31">
        <v>2.0388653774999998E-2</v>
      </c>
      <c r="V31">
        <v>2.9953701225000001E-2</v>
      </c>
      <c r="AC31" s="7"/>
    </row>
    <row r="32" spans="1:29" x14ac:dyDescent="0.25">
      <c r="A32" s="7"/>
      <c r="B32" s="4">
        <v>7.4999999999999997E-3</v>
      </c>
      <c r="C32" s="1" t="s">
        <v>19</v>
      </c>
      <c r="D32" s="4">
        <v>0</v>
      </c>
      <c r="E32" s="4">
        <v>0</v>
      </c>
      <c r="F32" s="4">
        <v>0</v>
      </c>
      <c r="G32" s="4">
        <v>0</v>
      </c>
      <c r="H32" s="4">
        <v>0</v>
      </c>
      <c r="I32" s="4">
        <v>0</v>
      </c>
      <c r="J32" s="4">
        <v>0</v>
      </c>
      <c r="K32" s="4">
        <v>0</v>
      </c>
      <c r="M32" s="4">
        <v>0.14399000000000001</v>
      </c>
      <c r="N32" s="1" t="s">
        <v>19</v>
      </c>
      <c r="O32">
        <v>9.447183900000003E-3</v>
      </c>
      <c r="P32">
        <v>1.3879196100000003E-2</v>
      </c>
      <c r="Q32">
        <v>1.4170775850000001E-2</v>
      </c>
      <c r="R32">
        <v>2.081879415E-2</v>
      </c>
      <c r="S32">
        <v>1.3879196100000001E-2</v>
      </c>
      <c r="T32">
        <v>2.0390423899999999E-2</v>
      </c>
      <c r="U32">
        <v>2.081879415E-2</v>
      </c>
      <c r="V32">
        <v>3.0585635850000001E-2</v>
      </c>
      <c r="AC32" s="7"/>
    </row>
    <row r="33" spans="1:29" x14ac:dyDescent="0.25">
      <c r="A33" s="7"/>
      <c r="B33" s="4">
        <v>4.2500000000000003E-2</v>
      </c>
      <c r="C33" s="1" t="s">
        <v>20</v>
      </c>
      <c r="D33" s="4">
        <v>0</v>
      </c>
      <c r="E33" s="4">
        <v>0</v>
      </c>
      <c r="F33" s="4">
        <v>0</v>
      </c>
      <c r="G33" s="4">
        <v>0</v>
      </c>
      <c r="H33" s="4">
        <v>0</v>
      </c>
      <c r="I33" s="4">
        <v>0</v>
      </c>
      <c r="J33" s="4">
        <v>0</v>
      </c>
      <c r="K33" s="4">
        <v>0</v>
      </c>
      <c r="M33" s="4">
        <v>0.21598499999999998</v>
      </c>
      <c r="N33" s="1" t="s">
        <v>20</v>
      </c>
      <c r="O33">
        <v>1.4170775850000003E-2</v>
      </c>
      <c r="P33">
        <v>2.0818794150000004E-2</v>
      </c>
      <c r="Q33">
        <v>2.1256163775E-2</v>
      </c>
      <c r="R33">
        <v>3.1228191224999997E-2</v>
      </c>
      <c r="S33">
        <v>2.081879415E-2</v>
      </c>
      <c r="T33">
        <v>3.0585635849999994E-2</v>
      </c>
      <c r="U33">
        <v>3.1228191224999997E-2</v>
      </c>
      <c r="V33">
        <v>4.5878453774999994E-2</v>
      </c>
      <c r="AC33" s="7"/>
    </row>
    <row r="34" spans="1:29" x14ac:dyDescent="0.25">
      <c r="A34" s="7"/>
      <c r="AC34" s="7"/>
    </row>
    <row r="35" spans="1:29" x14ac:dyDescent="0.25">
      <c r="A35" s="7"/>
      <c r="C35" s="1" t="s">
        <v>27</v>
      </c>
      <c r="D35" s="4">
        <v>5.9087897759881264E-3</v>
      </c>
      <c r="E35" s="4">
        <v>1.0427276075273165E-3</v>
      </c>
      <c r="F35" s="4">
        <v>2.3635159103952506E-2</v>
      </c>
      <c r="G35" s="4">
        <v>4.1709104301092658E-3</v>
      </c>
      <c r="H35" s="4">
        <v>1.9695965919960426E-3</v>
      </c>
      <c r="I35" s="4">
        <v>3.4757586917577224E-4</v>
      </c>
      <c r="J35" s="4">
        <v>7.8783863679841703E-3</v>
      </c>
      <c r="K35" s="4">
        <v>1.390303476703089E-3</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0.1275</v>
      </c>
      <c r="C37" s="1" t="s">
        <v>13</v>
      </c>
      <c r="D37" s="4">
        <v>7.5337069643848615E-4</v>
      </c>
      <c r="E37" s="4">
        <v>1.3294776995973284E-4</v>
      </c>
      <c r="F37" s="4">
        <v>3.0134827857539446E-3</v>
      </c>
      <c r="G37" s="4">
        <v>5.3179107983893136E-4</v>
      </c>
      <c r="H37" s="4">
        <v>2.5112356547949544E-4</v>
      </c>
      <c r="I37" s="4">
        <v>4.4315923319910964E-5</v>
      </c>
      <c r="J37" s="4">
        <v>1.0044942619179818E-3</v>
      </c>
      <c r="K37" s="4">
        <v>1.7726369327964386E-4</v>
      </c>
      <c r="N37" s="1" t="s">
        <v>13</v>
      </c>
      <c r="O37" s="5">
        <v>0.83967678000000034</v>
      </c>
      <c r="P37" s="5">
        <v>1.2335992200000003</v>
      </c>
      <c r="Q37" s="5">
        <v>1.2595151700000002</v>
      </c>
      <c r="R37" s="5">
        <v>1.85039883</v>
      </c>
      <c r="S37" s="5">
        <v>1.2335992200000001</v>
      </c>
      <c r="T37" s="5">
        <v>1.81232478</v>
      </c>
      <c r="U37" s="5">
        <v>1.85039883</v>
      </c>
      <c r="V37" s="5">
        <v>2.7184871700000004</v>
      </c>
      <c r="X37">
        <v>12.798000000000002</v>
      </c>
      <c r="Y37">
        <v>0.83967678000000034</v>
      </c>
      <c r="Z37">
        <v>11.958323220000002</v>
      </c>
      <c r="AA37">
        <v>311.01973139577711</v>
      </c>
      <c r="AB37">
        <v>4.1465020606786309</v>
      </c>
      <c r="AC37" s="7"/>
    </row>
    <row r="38" spans="1:29" x14ac:dyDescent="0.25">
      <c r="A38" s="7"/>
      <c r="B38" s="4">
        <v>2.2500000000000003E-2</v>
      </c>
      <c r="C38" s="1" t="s">
        <v>14</v>
      </c>
      <c r="D38" s="4">
        <v>1.3294776995973287E-4</v>
      </c>
      <c r="E38" s="4">
        <v>2.3461371169364623E-5</v>
      </c>
      <c r="F38" s="4">
        <v>5.3179107983893146E-4</v>
      </c>
      <c r="G38" s="4">
        <v>9.3845484677458494E-5</v>
      </c>
      <c r="H38" s="4">
        <v>4.4315923319910964E-5</v>
      </c>
      <c r="I38" s="4">
        <v>7.8204570564548762E-6</v>
      </c>
      <c r="J38" s="4">
        <v>1.7726369327964386E-4</v>
      </c>
      <c r="K38" s="4">
        <v>3.1281828225819505E-5</v>
      </c>
      <c r="N38" s="1" t="s">
        <v>14</v>
      </c>
      <c r="O38" s="5">
        <v>1.2595151700000002</v>
      </c>
      <c r="P38" s="5">
        <v>1.8503988300000003</v>
      </c>
      <c r="Q38" s="5">
        <v>1.8892727550000001</v>
      </c>
      <c r="R38" s="5">
        <v>2.7755982449999999</v>
      </c>
      <c r="S38" s="5">
        <v>1.85039883</v>
      </c>
      <c r="T38" s="5">
        <v>2.71848717</v>
      </c>
      <c r="U38" s="5">
        <v>2.7755982449999999</v>
      </c>
      <c r="V38" s="5">
        <v>4.0777307549999993</v>
      </c>
      <c r="X38">
        <v>19.196999999999999</v>
      </c>
      <c r="Y38">
        <v>1.8503988300000003</v>
      </c>
      <c r="Z38">
        <v>17.34660117</v>
      </c>
      <c r="AA38">
        <v>0.39082286388246862</v>
      </c>
      <c r="AB38">
        <v>5.0360847393048909</v>
      </c>
      <c r="AC38" s="7"/>
    </row>
    <row r="39" spans="1:29" x14ac:dyDescent="0.25">
      <c r="A39" s="7"/>
      <c r="B39" s="4">
        <v>0.51</v>
      </c>
      <c r="C39" s="1" t="s">
        <v>15</v>
      </c>
      <c r="D39" s="4">
        <v>3.0134827857539446E-3</v>
      </c>
      <c r="E39" s="4">
        <v>5.3179107983893136E-4</v>
      </c>
      <c r="F39" s="4">
        <v>1.2053931143015778E-2</v>
      </c>
      <c r="G39" s="4">
        <v>2.1271643193557254E-3</v>
      </c>
      <c r="H39" s="4">
        <v>1.0044942619179818E-3</v>
      </c>
      <c r="I39" s="4">
        <v>1.7726369327964386E-4</v>
      </c>
      <c r="J39" s="4">
        <v>4.017977047671927E-3</v>
      </c>
      <c r="K39" s="4">
        <v>7.0905477311857543E-4</v>
      </c>
      <c r="N39" s="1" t="s">
        <v>15</v>
      </c>
      <c r="O39" s="5">
        <v>1.2860872200000004</v>
      </c>
      <c r="P39" s="5">
        <v>1.8894367800000005</v>
      </c>
      <c r="Q39" s="5">
        <v>1.9291308300000005</v>
      </c>
      <c r="R39" s="5">
        <v>2.8341551700000003</v>
      </c>
      <c r="S39" s="5">
        <v>1.8894367800000003</v>
      </c>
      <c r="T39" s="5">
        <v>2.7758392200000004</v>
      </c>
      <c r="U39" s="5">
        <v>2.8341551700000003</v>
      </c>
      <c r="V39" s="5">
        <v>4.1637588300000008</v>
      </c>
      <c r="X39">
        <v>19.602000000000004</v>
      </c>
      <c r="Y39">
        <v>1.9291308300000005</v>
      </c>
      <c r="Z39">
        <v>17.672869170000002</v>
      </c>
      <c r="AA39">
        <v>1.9291308300000005</v>
      </c>
      <c r="AB39">
        <v>1.2355495912912087</v>
      </c>
      <c r="AC39" s="7"/>
    </row>
    <row r="40" spans="1:29" x14ac:dyDescent="0.25">
      <c r="A40" s="7"/>
      <c r="B40" s="4">
        <v>9.0000000000000011E-2</v>
      </c>
      <c r="C40" s="1" t="s">
        <v>16</v>
      </c>
      <c r="D40" s="4">
        <v>5.3179107983893146E-4</v>
      </c>
      <c r="E40" s="4">
        <v>9.3845484677458494E-5</v>
      </c>
      <c r="F40" s="4">
        <v>2.1271643193557259E-3</v>
      </c>
      <c r="G40" s="4">
        <v>3.7538193870983397E-4</v>
      </c>
      <c r="H40" s="4">
        <v>1.7726369327964386E-4</v>
      </c>
      <c r="I40" s="4">
        <v>3.1281828225819505E-5</v>
      </c>
      <c r="J40" s="4">
        <v>7.0905477311857543E-4</v>
      </c>
      <c r="K40" s="4">
        <v>1.2512731290327802E-4</v>
      </c>
      <c r="N40" s="1" t="s">
        <v>16</v>
      </c>
      <c r="O40" s="5">
        <v>1.9291308300000005</v>
      </c>
      <c r="P40" s="5">
        <v>2.8341551700000007</v>
      </c>
      <c r="Q40" s="5">
        <v>2.8936962450000001</v>
      </c>
      <c r="R40" s="5">
        <v>4.2512327550000002</v>
      </c>
      <c r="S40" s="5">
        <v>2.8341551700000003</v>
      </c>
      <c r="T40" s="5">
        <v>4.1637588299999999</v>
      </c>
      <c r="U40" s="5">
        <v>4.2512327550000002</v>
      </c>
      <c r="V40" s="5">
        <v>6.2456382450000003</v>
      </c>
      <c r="X40">
        <v>29.403000000000006</v>
      </c>
      <c r="Y40">
        <v>4.2512327550000002</v>
      </c>
      <c r="Z40">
        <v>25.151767245000006</v>
      </c>
      <c r="AA40">
        <v>0.36826574723380218</v>
      </c>
      <c r="AB40">
        <v>1.055222302597089</v>
      </c>
      <c r="AC40" s="7"/>
    </row>
    <row r="41" spans="1:29" x14ac:dyDescent="0.25">
      <c r="A41" s="7"/>
      <c r="B41" s="4">
        <v>4.2500000000000003E-2</v>
      </c>
      <c r="C41" s="1" t="s">
        <v>17</v>
      </c>
      <c r="D41" s="4">
        <v>2.5112356547949538E-4</v>
      </c>
      <c r="E41" s="4">
        <v>4.4315923319910951E-5</v>
      </c>
      <c r="F41" s="4">
        <v>1.0044942619179815E-3</v>
      </c>
      <c r="G41" s="4">
        <v>1.772636932796438E-4</v>
      </c>
      <c r="H41" s="4">
        <v>8.3707855159831813E-5</v>
      </c>
      <c r="I41" s="4">
        <v>1.4771974439970321E-5</v>
      </c>
      <c r="J41" s="4">
        <v>3.3483142063932725E-4</v>
      </c>
      <c r="K41" s="4">
        <v>5.9087897759881286E-5</v>
      </c>
      <c r="N41" s="1" t="s">
        <v>17</v>
      </c>
      <c r="O41" s="5">
        <v>1.2335992200000006</v>
      </c>
      <c r="P41" s="5">
        <v>1.8123247800000006</v>
      </c>
      <c r="Q41" s="5">
        <v>1.8503988300000003</v>
      </c>
      <c r="R41" s="5">
        <v>2.7184871700000004</v>
      </c>
      <c r="S41" s="5">
        <v>1.8123247800000002</v>
      </c>
      <c r="T41" s="5">
        <v>2.6625512200000001</v>
      </c>
      <c r="U41" s="5">
        <v>2.7184871700000004</v>
      </c>
      <c r="V41" s="5">
        <v>3.9938268300000002</v>
      </c>
      <c r="X41">
        <v>18.802000000000003</v>
      </c>
      <c r="Y41">
        <v>1.8123247800000002</v>
      </c>
      <c r="Z41">
        <v>16.989675220000002</v>
      </c>
      <c r="AA41">
        <v>1.9434699889745104E-2</v>
      </c>
      <c r="AB41">
        <v>0.9368930338553032</v>
      </c>
      <c r="AC41" s="7"/>
    </row>
    <row r="42" spans="1:29" x14ac:dyDescent="0.25">
      <c r="A42" s="7"/>
      <c r="B42" s="4">
        <v>7.4999999999999997E-3</v>
      </c>
      <c r="C42" s="1" t="s">
        <v>18</v>
      </c>
      <c r="D42" s="4">
        <v>4.4315923319910944E-5</v>
      </c>
      <c r="E42" s="4">
        <v>7.8204570564548728E-6</v>
      </c>
      <c r="F42" s="4">
        <v>1.7726369327964378E-4</v>
      </c>
      <c r="G42" s="4">
        <v>3.1281828225819491E-5</v>
      </c>
      <c r="H42" s="4">
        <v>1.4771974439970318E-5</v>
      </c>
      <c r="I42" s="4">
        <v>2.6068190188182918E-6</v>
      </c>
      <c r="J42" s="4">
        <v>5.9087897759881272E-5</v>
      </c>
      <c r="K42" s="4">
        <v>1.0427276075273167E-5</v>
      </c>
      <c r="N42" s="1" t="s">
        <v>18</v>
      </c>
      <c r="O42" s="5">
        <v>1.8503988300000003</v>
      </c>
      <c r="P42" s="5">
        <v>2.7184871700000004</v>
      </c>
      <c r="Q42" s="5">
        <v>2.7755982450000003</v>
      </c>
      <c r="R42" s="5">
        <v>4.0777307549999993</v>
      </c>
      <c r="S42" s="5">
        <v>2.7184871700000004</v>
      </c>
      <c r="T42" s="5">
        <v>3.9938268299999997</v>
      </c>
      <c r="U42" s="5">
        <v>4.0777307549999993</v>
      </c>
      <c r="V42" s="5">
        <v>5.9907402450000005</v>
      </c>
      <c r="X42">
        <v>28.202999999999999</v>
      </c>
      <c r="Y42">
        <v>3.9938268299999997</v>
      </c>
      <c r="Z42">
        <v>24.20917317</v>
      </c>
      <c r="AA42">
        <v>0.99537250793316145</v>
      </c>
      <c r="AB42">
        <v>2.1467968951311294</v>
      </c>
      <c r="AC42" s="7"/>
    </row>
    <row r="43" spans="1:29" x14ac:dyDescent="0.25">
      <c r="A43" s="7"/>
      <c r="B43" s="4">
        <v>0.17</v>
      </c>
      <c r="C43" s="1" t="s">
        <v>19</v>
      </c>
      <c r="D43" s="4">
        <v>1.0044942619179815E-3</v>
      </c>
      <c r="E43" s="4">
        <v>1.772636932796438E-4</v>
      </c>
      <c r="F43" s="4">
        <v>4.0179770476719261E-3</v>
      </c>
      <c r="G43" s="4">
        <v>7.0905477311857521E-4</v>
      </c>
      <c r="H43" s="4">
        <v>3.3483142063932725E-4</v>
      </c>
      <c r="I43" s="4">
        <v>5.9087897759881286E-5</v>
      </c>
      <c r="J43" s="4">
        <v>1.339325682557309E-3</v>
      </c>
      <c r="K43" s="4">
        <v>2.3635159103952514E-4</v>
      </c>
      <c r="N43" s="1" t="s">
        <v>19</v>
      </c>
      <c r="O43" s="5">
        <v>1.8894367800000005</v>
      </c>
      <c r="P43" s="5">
        <v>2.7758392200000004</v>
      </c>
      <c r="Q43" s="5">
        <v>2.8341551700000003</v>
      </c>
      <c r="R43" s="5">
        <v>4.1637588299999999</v>
      </c>
      <c r="S43" s="5">
        <v>2.7758392200000004</v>
      </c>
      <c r="T43" s="5">
        <v>4.0780847800000002</v>
      </c>
      <c r="U43" s="5">
        <v>4.1637588299999999</v>
      </c>
      <c r="V43" s="5">
        <v>6.1171271699999998</v>
      </c>
      <c r="X43">
        <v>28.797999999999998</v>
      </c>
      <c r="Y43">
        <v>4.1637588299999999</v>
      </c>
      <c r="Z43">
        <v>24.634241169999999</v>
      </c>
      <c r="AA43">
        <v>1.124429263450633</v>
      </c>
      <c r="AB43">
        <v>4.590646185580189</v>
      </c>
      <c r="AC43" s="7"/>
    </row>
    <row r="44" spans="1:29" x14ac:dyDescent="0.25">
      <c r="A44" s="7"/>
      <c r="B44" s="4">
        <v>0.03</v>
      </c>
      <c r="C44" s="1" t="s">
        <v>20</v>
      </c>
      <c r="D44" s="4">
        <v>1.7726369327964378E-4</v>
      </c>
      <c r="E44" s="4">
        <v>3.1281828225819491E-5</v>
      </c>
      <c r="F44" s="4">
        <v>7.090547731185751E-4</v>
      </c>
      <c r="G44" s="4">
        <v>1.2512731290327796E-4</v>
      </c>
      <c r="H44" s="4">
        <v>5.9087897759881272E-5</v>
      </c>
      <c r="I44" s="4">
        <v>1.0427276075273167E-5</v>
      </c>
      <c r="J44" s="4">
        <v>2.3635159103952509E-4</v>
      </c>
      <c r="K44" s="4">
        <v>4.1709104301092668E-5</v>
      </c>
      <c r="N44" s="1" t="s">
        <v>20</v>
      </c>
      <c r="O44" s="5">
        <v>2.8341551700000007</v>
      </c>
      <c r="P44" s="5">
        <v>4.1637588300000008</v>
      </c>
      <c r="Q44" s="5">
        <v>4.2512327550000002</v>
      </c>
      <c r="R44" s="5">
        <v>6.2456382449999994</v>
      </c>
      <c r="S44" s="5">
        <v>4.1637588299999999</v>
      </c>
      <c r="T44" s="5">
        <v>6.1171271699999989</v>
      </c>
      <c r="U44" s="5">
        <v>6.2456382449999994</v>
      </c>
      <c r="V44" s="5">
        <v>9.175690754999998</v>
      </c>
      <c r="X44">
        <v>43.196999999999996</v>
      </c>
      <c r="Y44">
        <v>9.175690754999998</v>
      </c>
      <c r="Z44">
        <v>34.021309244999998</v>
      </c>
      <c r="AA44">
        <v>78.418463054598959</v>
      </c>
      <c r="AB44">
        <v>3.0659389572897232E-2</v>
      </c>
      <c r="AC44" s="7"/>
    </row>
    <row r="45" spans="1:29" x14ac:dyDescent="0.25">
      <c r="A45" s="7"/>
      <c r="X45" s="9">
        <v>200.00000000000003</v>
      </c>
      <c r="Y45" s="9">
        <v>28.016040390000001</v>
      </c>
      <c r="Z45" s="9">
        <v>171.98395961000003</v>
      </c>
      <c r="AA45" s="9">
        <v>394.26565036276588</v>
      </c>
      <c r="AB45" s="9">
        <v>19.178354198011341</v>
      </c>
      <c r="AC45" s="7"/>
    </row>
    <row r="46" spans="1:29" x14ac:dyDescent="0.25">
      <c r="A46" s="7"/>
      <c r="C46" s="1" t="s">
        <v>28</v>
      </c>
      <c r="D46" s="4">
        <v>1.1980349060946411E-2</v>
      </c>
      <c r="E46" s="4">
        <v>6.7888644678696319E-2</v>
      </c>
      <c r="F46" s="4">
        <v>4.7921396243785642E-2</v>
      </c>
      <c r="G46" s="4">
        <v>0.27155457871478528</v>
      </c>
      <c r="H46" s="4">
        <v>3.9934496869821375E-3</v>
      </c>
      <c r="I46" s="4">
        <v>2.2629548226232112E-2</v>
      </c>
      <c r="J46" s="4">
        <v>1.597379874792855E-2</v>
      </c>
      <c r="K46" s="4">
        <v>9.0518192904928449E-2</v>
      </c>
      <c r="P46" t="s">
        <v>70</v>
      </c>
      <c r="AB46" s="22">
        <v>413.44400456077722</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2.2500000000000003E-2</v>
      </c>
      <c r="C48" s="1" t="s">
        <v>13</v>
      </c>
      <c r="D48" s="4">
        <v>2.6955785387129428E-4</v>
      </c>
      <c r="E48" s="4">
        <v>1.5274945052706674E-3</v>
      </c>
      <c r="F48" s="4">
        <v>1.0782314154851771E-3</v>
      </c>
      <c r="G48" s="4">
        <v>6.1099780210826697E-3</v>
      </c>
      <c r="H48" s="4">
        <v>8.9852617957098096E-5</v>
      </c>
      <c r="I48" s="4">
        <v>5.0916483509022255E-4</v>
      </c>
      <c r="J48" s="4">
        <v>3.5941047182839239E-4</v>
      </c>
      <c r="K48" s="4">
        <v>2.0366593403608902E-3</v>
      </c>
      <c r="N48" s="1" t="s">
        <v>13</v>
      </c>
      <c r="O48">
        <v>311.01973139577711</v>
      </c>
      <c r="P48">
        <v>2.5293236774133225</v>
      </c>
      <c r="Q48">
        <v>5.9628159170644421</v>
      </c>
      <c r="R48">
        <v>0.39082286388246851</v>
      </c>
      <c r="S48">
        <v>18.416497049653294</v>
      </c>
      <c r="T48">
        <v>0.36410225997243623</v>
      </c>
      <c r="U48">
        <v>1.2094965529873842E-2</v>
      </c>
      <c r="V48">
        <v>0.18989378325983028</v>
      </c>
      <c r="W48" s="7">
        <v>338.88528191255278</v>
      </c>
      <c r="Z48" t="s">
        <v>67</v>
      </c>
      <c r="AC48" s="7"/>
    </row>
    <row r="49" spans="1:29" x14ac:dyDescent="0.25">
      <c r="A49" s="7"/>
      <c r="B49" s="4">
        <v>0.1275</v>
      </c>
      <c r="C49" s="1" t="s">
        <v>14</v>
      </c>
      <c r="D49" s="4">
        <v>1.5274945052706674E-3</v>
      </c>
      <c r="E49" s="4">
        <v>8.6558021965337812E-3</v>
      </c>
      <c r="F49" s="4">
        <v>6.1099780210826697E-3</v>
      </c>
      <c r="G49" s="4">
        <v>3.4623208786135125E-2</v>
      </c>
      <c r="H49" s="4">
        <v>5.0916483509022255E-4</v>
      </c>
      <c r="I49" s="4">
        <v>2.8852673988445945E-3</v>
      </c>
      <c r="J49" s="4">
        <v>2.0366593403608902E-3</v>
      </c>
      <c r="K49" s="4">
        <v>1.1541069595378378E-2</v>
      </c>
      <c r="N49" s="1" t="s">
        <v>14</v>
      </c>
      <c r="O49">
        <v>2.4051218402237486</v>
      </c>
      <c r="P49">
        <v>0.39082286388246862</v>
      </c>
      <c r="Q49">
        <v>0.41857695279435192</v>
      </c>
      <c r="R49">
        <v>1.1358809342549789</v>
      </c>
      <c r="S49">
        <v>0.39082286388246851</v>
      </c>
      <c r="T49">
        <v>1.0863388233149573</v>
      </c>
      <c r="U49">
        <v>2.7755982449999999</v>
      </c>
      <c r="V49">
        <v>2.3229651905433042</v>
      </c>
      <c r="W49" s="7">
        <v>10.926127713896278</v>
      </c>
      <c r="Z49" t="s">
        <v>69</v>
      </c>
      <c r="AB49">
        <v>12</v>
      </c>
      <c r="AC49" s="7"/>
    </row>
    <row r="50" spans="1:29" x14ac:dyDescent="0.25">
      <c r="A50" s="7"/>
      <c r="B50" s="4">
        <v>9.0000000000000011E-2</v>
      </c>
      <c r="C50" s="1" t="s">
        <v>15</v>
      </c>
      <c r="D50" s="4">
        <v>1.0782314154851771E-3</v>
      </c>
      <c r="E50" s="4">
        <v>6.1099780210826697E-3</v>
      </c>
      <c r="F50" s="4">
        <v>4.3129256619407084E-3</v>
      </c>
      <c r="G50" s="4">
        <v>2.4439912084330679E-2</v>
      </c>
      <c r="H50" s="4">
        <v>3.5941047182839239E-4</v>
      </c>
      <c r="I50" s="4">
        <v>2.0366593403608902E-3</v>
      </c>
      <c r="J50" s="4">
        <v>1.4376418873135695E-3</v>
      </c>
      <c r="K50" s="4">
        <v>8.1466373614435608E-3</v>
      </c>
      <c r="N50" s="1" t="s">
        <v>15</v>
      </c>
      <c r="O50">
        <v>10.724893244369008</v>
      </c>
      <c r="P50">
        <v>0.41869502805845088</v>
      </c>
      <c r="Q50">
        <v>1.9291308300000005</v>
      </c>
      <c r="R50">
        <v>1.1869940020389673</v>
      </c>
      <c r="S50">
        <v>6.4697722338020441E-3</v>
      </c>
      <c r="T50">
        <v>1.1360906325439877</v>
      </c>
      <c r="U50">
        <v>1.1869940020389673</v>
      </c>
      <c r="V50">
        <v>1.1244292634506334</v>
      </c>
      <c r="W50" s="7">
        <v>17.713696774733815</v>
      </c>
      <c r="AC50" s="7"/>
    </row>
    <row r="51" spans="1:29" x14ac:dyDescent="0.25">
      <c r="A51" s="7"/>
      <c r="B51" s="4">
        <v>0.51</v>
      </c>
      <c r="C51" s="1" t="s">
        <v>16</v>
      </c>
      <c r="D51" s="4">
        <v>6.1099780210826697E-3</v>
      </c>
      <c r="E51" s="4">
        <v>3.4623208786135125E-2</v>
      </c>
      <c r="F51" s="4">
        <v>2.4439912084330679E-2</v>
      </c>
      <c r="G51" s="4">
        <v>0.1384928351445405</v>
      </c>
      <c r="H51" s="4">
        <v>2.0366593403608902E-3</v>
      </c>
      <c r="I51" s="4">
        <v>1.1541069595378378E-2</v>
      </c>
      <c r="J51" s="4">
        <v>8.1466373614435608E-3</v>
      </c>
      <c r="K51" s="4">
        <v>4.6164278381513511E-2</v>
      </c>
      <c r="N51" s="1" t="s">
        <v>16</v>
      </c>
      <c r="O51">
        <v>0.44749899064984078</v>
      </c>
      <c r="P51">
        <v>1.1869940020389678</v>
      </c>
      <c r="Q51">
        <v>1.2392750187665604</v>
      </c>
      <c r="R51">
        <v>0.36826574723380218</v>
      </c>
      <c r="S51">
        <v>1.1869940020389673</v>
      </c>
      <c r="T51">
        <v>0.32526730526392389</v>
      </c>
      <c r="U51">
        <v>1.1921363071039122</v>
      </c>
      <c r="V51">
        <v>3.6191586529210955</v>
      </c>
      <c r="W51" s="7">
        <v>9.5655900260170696</v>
      </c>
      <c r="AC51" s="7"/>
    </row>
    <row r="52" spans="1:29" x14ac:dyDescent="0.25">
      <c r="A52" s="7"/>
      <c r="B52" s="4">
        <v>7.4999999999999997E-3</v>
      </c>
      <c r="C52" s="1" t="s">
        <v>17</v>
      </c>
      <c r="D52" s="4">
        <v>8.9852617957098083E-5</v>
      </c>
      <c r="E52" s="4">
        <v>5.0916483509022233E-4</v>
      </c>
      <c r="F52" s="4">
        <v>3.5941047182839233E-4</v>
      </c>
      <c r="G52" s="4">
        <v>2.0366593403608893E-3</v>
      </c>
      <c r="H52" s="4">
        <v>2.9950872652366031E-5</v>
      </c>
      <c r="I52" s="4">
        <v>1.6972161169674082E-4</v>
      </c>
      <c r="J52" s="4">
        <v>1.1980349060946412E-4</v>
      </c>
      <c r="K52" s="4">
        <v>6.7888644678696329E-4</v>
      </c>
      <c r="N52" s="1" t="s">
        <v>17</v>
      </c>
      <c r="O52">
        <v>18.416497049653287</v>
      </c>
      <c r="P52">
        <v>0.36410225997243673</v>
      </c>
      <c r="Q52">
        <v>1.2094965529873802E-2</v>
      </c>
      <c r="R52">
        <v>1.0863388233149578</v>
      </c>
      <c r="S52">
        <v>1.9434699889745104E-2</v>
      </c>
      <c r="T52">
        <v>2.6625512200000001</v>
      </c>
      <c r="U52">
        <v>1.0863388233149578</v>
      </c>
      <c r="V52">
        <v>0.99537250793316179</v>
      </c>
      <c r="W52" s="7">
        <v>24.642730349608421</v>
      </c>
      <c r="AC52" s="7"/>
    </row>
    <row r="53" spans="1:29" x14ac:dyDescent="0.25">
      <c r="A53" s="7"/>
      <c r="B53" s="4">
        <v>4.2500000000000003E-2</v>
      </c>
      <c r="C53" s="1" t="s">
        <v>18</v>
      </c>
      <c r="D53" s="4">
        <v>5.0916483509022244E-4</v>
      </c>
      <c r="E53" s="4">
        <v>2.8852673988445936E-3</v>
      </c>
      <c r="F53" s="4">
        <v>2.0366593403608898E-3</v>
      </c>
      <c r="G53" s="4">
        <v>1.1541069595378374E-2</v>
      </c>
      <c r="H53" s="4">
        <v>1.6972161169674085E-4</v>
      </c>
      <c r="I53" s="4">
        <v>9.6175579961486489E-4</v>
      </c>
      <c r="J53" s="4">
        <v>6.788864467869634E-4</v>
      </c>
      <c r="K53" s="4">
        <v>3.8470231984594596E-3</v>
      </c>
      <c r="N53" s="1" t="s">
        <v>18</v>
      </c>
      <c r="O53">
        <v>0.39082286388246862</v>
      </c>
      <c r="P53">
        <v>1.0863388233149578</v>
      </c>
      <c r="Q53">
        <v>1.1358809342549792</v>
      </c>
      <c r="R53">
        <v>0.28484067488974479</v>
      </c>
      <c r="S53">
        <v>1.0863388233149578</v>
      </c>
      <c r="T53">
        <v>0.99537250793316145</v>
      </c>
      <c r="U53">
        <v>1.0586684971732196</v>
      </c>
      <c r="V53">
        <v>0.67389414295372396</v>
      </c>
      <c r="W53" s="7">
        <v>6.7121572677172141</v>
      </c>
      <c r="AC53" s="7"/>
    </row>
    <row r="54" spans="1:29" x14ac:dyDescent="0.25">
      <c r="A54" s="7"/>
      <c r="B54" s="4">
        <v>0.03</v>
      </c>
      <c r="C54" s="1" t="s">
        <v>19</v>
      </c>
      <c r="D54" s="4">
        <v>3.5941047182839233E-4</v>
      </c>
      <c r="E54" s="4">
        <v>2.0366593403608893E-3</v>
      </c>
      <c r="F54" s="4">
        <v>1.4376418873135693E-3</v>
      </c>
      <c r="G54" s="4">
        <v>8.1466373614435574E-3</v>
      </c>
      <c r="H54" s="4">
        <v>1.1980349060946412E-4</v>
      </c>
      <c r="I54" s="4">
        <v>6.7888644678696329E-4</v>
      </c>
      <c r="J54" s="4">
        <v>4.792139624378565E-4</v>
      </c>
      <c r="K54" s="4">
        <v>2.7155457871478532E-3</v>
      </c>
      <c r="N54" s="1" t="s">
        <v>19</v>
      </c>
      <c r="O54">
        <v>6.4697722338020163E-3</v>
      </c>
      <c r="P54">
        <v>2.7758392200000004</v>
      </c>
      <c r="Q54">
        <v>1.1869940020389673</v>
      </c>
      <c r="R54">
        <v>1.124429263450633</v>
      </c>
      <c r="S54">
        <v>1.1360906325439877</v>
      </c>
      <c r="T54">
        <v>1.0589373654138816</v>
      </c>
      <c r="U54">
        <v>1.124429263450633</v>
      </c>
      <c r="V54">
        <v>2.2426824832887794E-3</v>
      </c>
      <c r="W54" s="7">
        <v>8.415432201615193</v>
      </c>
      <c r="AC54" s="7"/>
    </row>
    <row r="55" spans="1:29" x14ac:dyDescent="0.25">
      <c r="A55" s="7"/>
      <c r="B55" s="4">
        <v>0.17</v>
      </c>
      <c r="C55" s="1" t="s">
        <v>20</v>
      </c>
      <c r="D55" s="4">
        <v>2.0366593403608898E-3</v>
      </c>
      <c r="E55" s="4">
        <v>1.1541069595378374E-2</v>
      </c>
      <c r="F55" s="4">
        <v>8.1466373614435591E-3</v>
      </c>
      <c r="G55" s="4">
        <v>4.6164278381513497E-2</v>
      </c>
      <c r="H55" s="4">
        <v>6.788864467869634E-4</v>
      </c>
      <c r="I55" s="4">
        <v>3.8470231984594596E-3</v>
      </c>
      <c r="J55" s="4">
        <v>2.7155457871478536E-3</v>
      </c>
      <c r="K55" s="4">
        <v>1.5388092793837838E-2</v>
      </c>
      <c r="N55" s="1" t="s">
        <v>20</v>
      </c>
      <c r="O55">
        <v>1.1869940020389678</v>
      </c>
      <c r="P55">
        <v>2.4039264383626588</v>
      </c>
      <c r="Q55">
        <v>0.36826574723380218</v>
      </c>
      <c r="R55">
        <v>3.6191586529210977</v>
      </c>
      <c r="S55">
        <v>1.124429263450633</v>
      </c>
      <c r="T55">
        <v>1.3586370730874009</v>
      </c>
      <c r="U55">
        <v>9.6608457037972023E-3</v>
      </c>
      <c r="V55">
        <v>78.418463054598959</v>
      </c>
      <c r="W55" s="7">
        <v>88.489535077397321</v>
      </c>
      <c r="AC55" s="7"/>
    </row>
    <row r="56" spans="1:29" x14ac:dyDescent="0.25">
      <c r="A56" s="7"/>
      <c r="O56" s="7">
        <v>344.59802915882818</v>
      </c>
      <c r="P56" s="7">
        <v>11.156042313043264</v>
      </c>
      <c r="Q56" s="7">
        <v>12.253034367682979</v>
      </c>
      <c r="R56" s="7">
        <v>9.1967309619866509</v>
      </c>
      <c r="S56" s="7">
        <v>23.367077107007859</v>
      </c>
      <c r="T56" s="7">
        <v>8.987297187529748</v>
      </c>
      <c r="U56" s="7">
        <v>8.4459209493153615</v>
      </c>
      <c r="V56" s="7">
        <v>87.346419278143998</v>
      </c>
      <c r="W56" s="22">
        <v>505.35055132353796</v>
      </c>
      <c r="X56" t="s">
        <v>64</v>
      </c>
      <c r="AC56" s="7"/>
    </row>
    <row r="57" spans="1:29" x14ac:dyDescent="0.25">
      <c r="A57" s="7"/>
      <c r="C57" s="1" t="s">
        <v>29</v>
      </c>
      <c r="D57" s="4">
        <v>4.4068558043270964E-2</v>
      </c>
      <c r="E57" s="4">
        <v>7.7768043605772295E-3</v>
      </c>
      <c r="F57" s="4">
        <v>1.1017139510817741E-2</v>
      </c>
      <c r="G57" s="4">
        <v>1.9442010901443074E-3</v>
      </c>
      <c r="H57" s="4">
        <v>0.13220567412981291</v>
      </c>
      <c r="I57" s="4">
        <v>2.3330413081731689E-2</v>
      </c>
      <c r="J57" s="4">
        <v>3.3051418532453226E-2</v>
      </c>
      <c r="K57" s="4">
        <v>5.8326032704329222E-3</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0.17</v>
      </c>
      <c r="C59" s="1" t="s">
        <v>13</v>
      </c>
      <c r="D59" s="4">
        <v>7.4916548673560641E-3</v>
      </c>
      <c r="E59" s="4">
        <v>1.3220567412981291E-3</v>
      </c>
      <c r="F59" s="4">
        <v>1.872913716839016E-3</v>
      </c>
      <c r="G59" s="4">
        <v>3.3051418532453226E-4</v>
      </c>
      <c r="H59" s="4">
        <v>2.2474964602068194E-2</v>
      </c>
      <c r="I59" s="4">
        <v>3.9661702238943872E-3</v>
      </c>
      <c r="J59" s="4">
        <v>5.6187411505170485E-3</v>
      </c>
      <c r="K59" s="4">
        <v>9.9154255597359679E-4</v>
      </c>
      <c r="AC59" s="7"/>
    </row>
    <row r="60" spans="1:29" x14ac:dyDescent="0.25">
      <c r="A60" s="7"/>
      <c r="B60" s="4">
        <v>0.03</v>
      </c>
      <c r="C60" s="1" t="s">
        <v>14</v>
      </c>
      <c r="D60" s="4">
        <v>1.3220567412981288E-3</v>
      </c>
      <c r="E60" s="4">
        <v>2.3330413081731687E-4</v>
      </c>
      <c r="F60" s="4">
        <v>3.3051418532453221E-4</v>
      </c>
      <c r="G60" s="4">
        <v>5.8326032704329218E-5</v>
      </c>
      <c r="H60" s="4">
        <v>3.9661702238943872E-3</v>
      </c>
      <c r="I60" s="4">
        <v>6.9991239245195062E-4</v>
      </c>
      <c r="J60" s="4">
        <v>9.9154255597359679E-4</v>
      </c>
      <c r="K60" s="4">
        <v>1.7497809811298765E-4</v>
      </c>
      <c r="O60" s="23"/>
      <c r="P60" s="23"/>
      <c r="Q60" s="23"/>
      <c r="R60" s="23"/>
      <c r="S60" s="23"/>
      <c r="T60" s="23"/>
      <c r="U60" s="23"/>
      <c r="V60" s="23"/>
      <c r="AC60" s="7"/>
    </row>
    <row r="61" spans="1:29" x14ac:dyDescent="0.25">
      <c r="A61" s="7"/>
      <c r="B61" s="4">
        <v>4.2500000000000003E-2</v>
      </c>
      <c r="C61" s="1" t="s">
        <v>15</v>
      </c>
      <c r="D61" s="4">
        <v>1.872913716839016E-3</v>
      </c>
      <c r="E61" s="4">
        <v>3.3051418532453226E-4</v>
      </c>
      <c r="F61" s="4">
        <v>4.68228429209754E-4</v>
      </c>
      <c r="G61" s="4">
        <v>8.2628546331133066E-5</v>
      </c>
      <c r="H61" s="4">
        <v>5.6187411505170485E-3</v>
      </c>
      <c r="I61" s="4">
        <v>9.9154255597359679E-4</v>
      </c>
      <c r="J61" s="4">
        <v>1.4046852876292621E-3</v>
      </c>
      <c r="K61" s="4">
        <v>2.478856389933992E-4</v>
      </c>
      <c r="O61" s="23"/>
      <c r="P61" s="23"/>
      <c r="Q61" s="23"/>
      <c r="R61" s="23"/>
      <c r="S61" s="23"/>
      <c r="T61" s="23"/>
      <c r="U61" s="23"/>
      <c r="V61" s="23"/>
      <c r="AC61" s="7"/>
    </row>
    <row r="62" spans="1:29" x14ac:dyDescent="0.25">
      <c r="A62" s="7"/>
      <c r="B62" s="4">
        <v>7.4999999999999997E-3</v>
      </c>
      <c r="C62" s="1" t="s">
        <v>16</v>
      </c>
      <c r="D62" s="4">
        <v>3.3051418532453221E-4</v>
      </c>
      <c r="E62" s="4">
        <v>5.8326032704329218E-5</v>
      </c>
      <c r="F62" s="4">
        <v>8.2628546331133052E-5</v>
      </c>
      <c r="G62" s="4">
        <v>1.4581508176082305E-5</v>
      </c>
      <c r="H62" s="4">
        <v>9.9154255597359679E-4</v>
      </c>
      <c r="I62" s="4">
        <v>1.7497809811298765E-4</v>
      </c>
      <c r="J62" s="4">
        <v>2.478856389933992E-4</v>
      </c>
      <c r="K62" s="4">
        <v>4.3744524528246914E-5</v>
      </c>
      <c r="O62" s="23"/>
      <c r="P62" s="23"/>
      <c r="Q62" s="23"/>
      <c r="R62" s="23"/>
      <c r="S62" s="23"/>
      <c r="T62" s="23"/>
      <c r="U62" s="23"/>
      <c r="V62" s="23"/>
      <c r="AC62" s="7"/>
    </row>
    <row r="63" spans="1:29" x14ac:dyDescent="0.25">
      <c r="A63" s="7"/>
      <c r="B63" s="4">
        <v>0.51</v>
      </c>
      <c r="C63" s="1" t="s">
        <v>17</v>
      </c>
      <c r="D63" s="4">
        <v>2.247496460206819E-2</v>
      </c>
      <c r="E63" s="4">
        <v>3.9661702238943872E-3</v>
      </c>
      <c r="F63" s="4">
        <v>5.6187411505170476E-3</v>
      </c>
      <c r="G63" s="4">
        <v>9.9154255597359679E-4</v>
      </c>
      <c r="H63" s="4">
        <v>6.7424893806204589E-2</v>
      </c>
      <c r="I63" s="4">
        <v>1.1898510671683162E-2</v>
      </c>
      <c r="J63" s="4">
        <v>1.6856223451551147E-2</v>
      </c>
      <c r="K63" s="4">
        <v>2.9746276679207904E-3</v>
      </c>
      <c r="O63" s="23"/>
      <c r="P63" s="23"/>
      <c r="Q63" s="23"/>
      <c r="R63" s="23"/>
      <c r="S63" s="23"/>
      <c r="T63" s="23"/>
      <c r="U63" s="23"/>
      <c r="V63" s="23"/>
      <c r="AC63" s="7"/>
    </row>
    <row r="64" spans="1:29" x14ac:dyDescent="0.25">
      <c r="A64" s="7"/>
      <c r="B64" s="4">
        <v>9.0000000000000011E-2</v>
      </c>
      <c r="C64" s="1" t="s">
        <v>18</v>
      </c>
      <c r="D64" s="4">
        <v>3.9661702238943872E-3</v>
      </c>
      <c r="E64" s="4">
        <v>6.9991239245195073E-4</v>
      </c>
      <c r="F64" s="4">
        <v>9.9154255597359679E-4</v>
      </c>
      <c r="G64" s="4">
        <v>1.7497809811298768E-4</v>
      </c>
      <c r="H64" s="4">
        <v>1.1898510671683163E-2</v>
      </c>
      <c r="I64" s="4">
        <v>2.0997371773558522E-3</v>
      </c>
      <c r="J64" s="4">
        <v>2.9746276679207908E-3</v>
      </c>
      <c r="K64" s="4">
        <v>5.2493429433896305E-4</v>
      </c>
      <c r="O64" s="23"/>
      <c r="P64" s="23"/>
      <c r="Q64" s="23"/>
      <c r="R64" s="23"/>
      <c r="S64" s="23"/>
      <c r="T64" s="23"/>
      <c r="U64" s="23"/>
      <c r="V64" s="23"/>
      <c r="AC64" s="7"/>
    </row>
    <row r="65" spans="1:29" x14ac:dyDescent="0.25">
      <c r="A65" s="7"/>
      <c r="B65" s="4">
        <v>0.1275</v>
      </c>
      <c r="C65" s="1" t="s">
        <v>19</v>
      </c>
      <c r="D65" s="4">
        <v>5.6187411505170476E-3</v>
      </c>
      <c r="E65" s="4">
        <v>9.9154255597359679E-4</v>
      </c>
      <c r="F65" s="4">
        <v>1.4046852876292619E-3</v>
      </c>
      <c r="G65" s="4">
        <v>2.478856389933992E-4</v>
      </c>
      <c r="H65" s="4">
        <v>1.6856223451551147E-2</v>
      </c>
      <c r="I65" s="4">
        <v>2.9746276679207904E-3</v>
      </c>
      <c r="J65" s="4">
        <v>4.2140558628877868E-3</v>
      </c>
      <c r="K65" s="4">
        <v>7.4365691698019759E-4</v>
      </c>
      <c r="O65" s="23"/>
      <c r="P65" s="23"/>
      <c r="Q65" s="23"/>
      <c r="R65" s="23"/>
      <c r="S65" s="23"/>
      <c r="T65" s="23"/>
      <c r="U65" s="23"/>
      <c r="V65" s="23"/>
      <c r="AC65" s="7"/>
    </row>
    <row r="66" spans="1:29" x14ac:dyDescent="0.25">
      <c r="A66" s="7"/>
      <c r="B66" s="4">
        <v>2.2500000000000003E-2</v>
      </c>
      <c r="C66" s="1" t="s">
        <v>20</v>
      </c>
      <c r="D66" s="4">
        <v>9.9154255597359679E-4</v>
      </c>
      <c r="E66" s="4">
        <v>1.7497809811298768E-4</v>
      </c>
      <c r="F66" s="4">
        <v>2.478856389933992E-4</v>
      </c>
      <c r="G66" s="4">
        <v>4.3744524528246921E-5</v>
      </c>
      <c r="H66" s="4">
        <v>2.9746276679207908E-3</v>
      </c>
      <c r="I66" s="4">
        <v>5.2493429433896305E-4</v>
      </c>
      <c r="J66" s="4">
        <v>7.436569169801977E-4</v>
      </c>
      <c r="K66" s="4">
        <v>1.3123357358474076E-4</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3.5198813417080805E-3</v>
      </c>
      <c r="E68" s="4">
        <v>1.9945994269679124E-2</v>
      </c>
      <c r="F68" s="4">
        <v>8.7997033542702014E-4</v>
      </c>
      <c r="G68" s="4">
        <v>4.9864985674197811E-3</v>
      </c>
      <c r="H68" s="4">
        <v>1.0559644025124243E-2</v>
      </c>
      <c r="I68" s="4">
        <v>5.9837982809037377E-2</v>
      </c>
      <c r="J68" s="4">
        <v>2.6399110062810607E-3</v>
      </c>
      <c r="K68" s="4">
        <v>1.4959495702259344E-2</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0.03</v>
      </c>
      <c r="C70" s="1" t="s">
        <v>13</v>
      </c>
      <c r="D70" s="4">
        <v>1.0559644025124241E-4</v>
      </c>
      <c r="E70" s="4">
        <v>5.9837982809037374E-4</v>
      </c>
      <c r="F70" s="4">
        <v>2.6399110062810603E-5</v>
      </c>
      <c r="G70" s="4">
        <v>1.4959495702259343E-4</v>
      </c>
      <c r="H70" s="4">
        <v>3.1678932075372728E-4</v>
      </c>
      <c r="I70" s="4">
        <v>1.7951394842711213E-3</v>
      </c>
      <c r="J70" s="4">
        <v>7.919733018843182E-5</v>
      </c>
      <c r="K70" s="4">
        <v>4.4878487106778033E-4</v>
      </c>
      <c r="AC70" s="7"/>
    </row>
    <row r="71" spans="1:29" x14ac:dyDescent="0.25">
      <c r="A71" s="7"/>
      <c r="B71" s="4">
        <v>0.17</v>
      </c>
      <c r="C71" s="1" t="s">
        <v>14</v>
      </c>
      <c r="D71" s="4">
        <v>5.9837982809037374E-4</v>
      </c>
      <c r="E71" s="4">
        <v>3.3908190258454514E-3</v>
      </c>
      <c r="F71" s="4">
        <v>1.4959495702259343E-4</v>
      </c>
      <c r="G71" s="4">
        <v>8.4770475646136286E-4</v>
      </c>
      <c r="H71" s="4">
        <v>1.7951394842711215E-3</v>
      </c>
      <c r="I71" s="4">
        <v>1.0172457077536355E-2</v>
      </c>
      <c r="J71" s="4">
        <v>4.4878487106778038E-4</v>
      </c>
      <c r="K71" s="4">
        <v>2.5431142693840888E-3</v>
      </c>
      <c r="AC71" s="7"/>
    </row>
    <row r="72" spans="1:29" x14ac:dyDescent="0.25">
      <c r="A72" s="7"/>
      <c r="B72" s="4">
        <v>7.4999999999999997E-3</v>
      </c>
      <c r="C72" s="1" t="s">
        <v>15</v>
      </c>
      <c r="D72" s="4">
        <v>2.6399110062810603E-5</v>
      </c>
      <c r="E72" s="4">
        <v>1.4959495702259343E-4</v>
      </c>
      <c r="F72" s="4">
        <v>6.5997775157026509E-6</v>
      </c>
      <c r="G72" s="4">
        <v>3.7398739255648359E-5</v>
      </c>
      <c r="H72" s="4">
        <v>7.919733018843182E-5</v>
      </c>
      <c r="I72" s="4">
        <v>4.4878487106778033E-4</v>
      </c>
      <c r="J72" s="4">
        <v>1.9799332547107955E-5</v>
      </c>
      <c r="K72" s="4">
        <v>1.1219621776694508E-4</v>
      </c>
      <c r="AC72" s="7"/>
    </row>
    <row r="73" spans="1:29" x14ac:dyDescent="0.25">
      <c r="A73" s="7"/>
      <c r="B73" s="4">
        <v>4.2500000000000003E-2</v>
      </c>
      <c r="C73" s="1" t="s">
        <v>16</v>
      </c>
      <c r="D73" s="4">
        <v>1.4959495702259343E-4</v>
      </c>
      <c r="E73" s="4">
        <v>8.4770475646136286E-4</v>
      </c>
      <c r="F73" s="4">
        <v>3.7398739255648359E-5</v>
      </c>
      <c r="G73" s="4">
        <v>2.1192618911534071E-4</v>
      </c>
      <c r="H73" s="4">
        <v>4.4878487106778038E-4</v>
      </c>
      <c r="I73" s="4">
        <v>2.5431142693840888E-3</v>
      </c>
      <c r="J73" s="4">
        <v>1.121962177669451E-4</v>
      </c>
      <c r="K73" s="4">
        <v>6.357785673460222E-4</v>
      </c>
      <c r="AC73" s="7"/>
    </row>
    <row r="74" spans="1:29" x14ac:dyDescent="0.25">
      <c r="A74" s="7"/>
      <c r="B74" s="4">
        <v>9.0000000000000011E-2</v>
      </c>
      <c r="C74" s="1" t="s">
        <v>17</v>
      </c>
      <c r="D74" s="4">
        <v>3.1678932075372728E-4</v>
      </c>
      <c r="E74" s="4">
        <v>1.7951394842711213E-3</v>
      </c>
      <c r="F74" s="4">
        <v>7.919733018843182E-5</v>
      </c>
      <c r="G74" s="4">
        <v>4.4878487106778033E-4</v>
      </c>
      <c r="H74" s="4">
        <v>9.5036796226118201E-4</v>
      </c>
      <c r="I74" s="4">
        <v>5.3854184528133644E-3</v>
      </c>
      <c r="J74" s="4">
        <v>2.375919905652955E-4</v>
      </c>
      <c r="K74" s="4">
        <v>1.3463546132033411E-3</v>
      </c>
      <c r="AC74" s="7"/>
    </row>
    <row r="75" spans="1:29" x14ac:dyDescent="0.25">
      <c r="A75" s="7"/>
      <c r="B75" s="4">
        <v>0.51</v>
      </c>
      <c r="C75" s="1" t="s">
        <v>18</v>
      </c>
      <c r="D75" s="4">
        <v>1.7951394842711211E-3</v>
      </c>
      <c r="E75" s="4">
        <v>1.0172457077536353E-2</v>
      </c>
      <c r="F75" s="4">
        <v>4.4878487106778028E-4</v>
      </c>
      <c r="G75" s="4">
        <v>2.5431142693840884E-3</v>
      </c>
      <c r="H75" s="4">
        <v>5.3854184528133644E-3</v>
      </c>
      <c r="I75" s="4">
        <v>3.0517371232609062E-2</v>
      </c>
      <c r="J75" s="4">
        <v>1.3463546132033411E-3</v>
      </c>
      <c r="K75" s="4">
        <v>7.6293428081522655E-3</v>
      </c>
      <c r="AC75" s="7"/>
    </row>
    <row r="76" spans="1:29" x14ac:dyDescent="0.25">
      <c r="A76" s="7"/>
      <c r="B76" s="4">
        <v>2.2500000000000003E-2</v>
      </c>
      <c r="C76" s="1" t="s">
        <v>19</v>
      </c>
      <c r="D76" s="4">
        <v>7.919733018843182E-5</v>
      </c>
      <c r="E76" s="4">
        <v>4.4878487106778033E-4</v>
      </c>
      <c r="F76" s="4">
        <v>1.9799332547107955E-5</v>
      </c>
      <c r="G76" s="4">
        <v>1.1219621776694508E-4</v>
      </c>
      <c r="H76" s="4">
        <v>2.375919905652955E-4</v>
      </c>
      <c r="I76" s="4">
        <v>1.3463546132033411E-3</v>
      </c>
      <c r="J76" s="4">
        <v>5.9397997641323875E-5</v>
      </c>
      <c r="K76" s="4">
        <v>3.3658865330083527E-4</v>
      </c>
      <c r="AC76" s="7"/>
    </row>
    <row r="77" spans="1:29" x14ac:dyDescent="0.25">
      <c r="A77" s="7"/>
      <c r="B77" s="4">
        <v>0.1275</v>
      </c>
      <c r="C77" s="1" t="s">
        <v>20</v>
      </c>
      <c r="D77" s="4">
        <v>4.4878487106778028E-4</v>
      </c>
      <c r="E77" s="4">
        <v>2.5431142693840884E-3</v>
      </c>
      <c r="F77" s="4">
        <v>1.1219621776694507E-4</v>
      </c>
      <c r="G77" s="4">
        <v>6.3577856734602209E-4</v>
      </c>
      <c r="H77" s="4">
        <v>1.3463546132033411E-3</v>
      </c>
      <c r="I77" s="4">
        <v>7.6293428081522655E-3</v>
      </c>
      <c r="J77" s="4">
        <v>3.3658865330083527E-4</v>
      </c>
      <c r="K77" s="4">
        <v>1.9073357020380664E-3</v>
      </c>
      <c r="AC77" s="7"/>
    </row>
    <row r="78" spans="1:29" x14ac:dyDescent="0.25">
      <c r="A78" s="7"/>
      <c r="AC78" s="7"/>
    </row>
    <row r="79" spans="1:29" x14ac:dyDescent="0.25">
      <c r="A79" s="7"/>
      <c r="C79" s="1" t="s">
        <v>31</v>
      </c>
      <c r="D79" s="4">
        <v>1.8972171858558345E-3</v>
      </c>
      <c r="E79" s="4">
        <v>3.3480303279808846E-4</v>
      </c>
      <c r="F79" s="4">
        <v>7.588868743423338E-3</v>
      </c>
      <c r="G79" s="4">
        <v>1.3392121311923539E-3</v>
      </c>
      <c r="H79" s="4">
        <v>5.6916515575675041E-3</v>
      </c>
      <c r="I79" s="4">
        <v>1.0044090983942653E-3</v>
      </c>
      <c r="J79" s="4">
        <v>2.2766606230270017E-2</v>
      </c>
      <c r="K79" s="4">
        <v>4.0176363935770613E-3</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4.2500000000000003E-2</v>
      </c>
      <c r="C81" s="1" t="s">
        <v>13</v>
      </c>
      <c r="D81" s="4">
        <v>8.0631730398872969E-5</v>
      </c>
      <c r="E81" s="4">
        <v>1.4229128893918761E-5</v>
      </c>
      <c r="F81" s="4">
        <v>3.2252692159549188E-4</v>
      </c>
      <c r="G81" s="4">
        <v>5.6916515575675044E-5</v>
      </c>
      <c r="H81" s="4">
        <v>2.4189519119661895E-4</v>
      </c>
      <c r="I81" s="4">
        <v>4.2687386681756283E-5</v>
      </c>
      <c r="J81" s="4">
        <v>9.675807647864758E-4</v>
      </c>
      <c r="K81" s="4">
        <v>1.7074954672702513E-4</v>
      </c>
      <c r="AC81" s="7"/>
    </row>
    <row r="82" spans="1:29" x14ac:dyDescent="0.25">
      <c r="A82" s="7"/>
      <c r="B82" s="4">
        <v>7.4999999999999997E-3</v>
      </c>
      <c r="C82" s="1" t="s">
        <v>14</v>
      </c>
      <c r="D82" s="4">
        <v>1.4229128893918758E-5</v>
      </c>
      <c r="E82" s="4">
        <v>2.5110227459856634E-6</v>
      </c>
      <c r="F82" s="4">
        <v>5.691651557567503E-5</v>
      </c>
      <c r="G82" s="4">
        <v>1.0044090983942654E-5</v>
      </c>
      <c r="H82" s="4">
        <v>4.2687386681756283E-5</v>
      </c>
      <c r="I82" s="4">
        <v>7.5330682379569895E-6</v>
      </c>
      <c r="J82" s="4">
        <v>1.7074954672702513E-4</v>
      </c>
      <c r="K82" s="4">
        <v>3.0132272951827958E-5</v>
      </c>
      <c r="AC82" s="7"/>
    </row>
    <row r="83" spans="1:29" x14ac:dyDescent="0.25">
      <c r="A83" s="7"/>
      <c r="B83" s="4">
        <v>0.17</v>
      </c>
      <c r="C83" s="1" t="s">
        <v>15</v>
      </c>
      <c r="D83" s="4">
        <v>3.2252692159549188E-4</v>
      </c>
      <c r="E83" s="4">
        <v>5.6916515575675044E-5</v>
      </c>
      <c r="F83" s="4">
        <v>1.2901076863819675E-3</v>
      </c>
      <c r="G83" s="4">
        <v>2.2766606230270017E-4</v>
      </c>
      <c r="H83" s="4">
        <v>9.675807647864758E-4</v>
      </c>
      <c r="I83" s="4">
        <v>1.7074954672702513E-4</v>
      </c>
      <c r="J83" s="4">
        <v>3.8703230591459032E-3</v>
      </c>
      <c r="K83" s="4">
        <v>6.8299818690810052E-4</v>
      </c>
      <c r="AC83" s="7"/>
    </row>
    <row r="84" spans="1:29" x14ac:dyDescent="0.25">
      <c r="A84" s="7"/>
      <c r="B84" s="4">
        <v>0.03</v>
      </c>
      <c r="C84" s="1" t="s">
        <v>16</v>
      </c>
      <c r="D84" s="4">
        <v>5.691651557567503E-5</v>
      </c>
      <c r="E84" s="4">
        <v>1.0044090983942654E-5</v>
      </c>
      <c r="F84" s="4">
        <v>2.2766606230270012E-4</v>
      </c>
      <c r="G84" s="4">
        <v>4.0176363935770615E-5</v>
      </c>
      <c r="H84" s="4">
        <v>1.7074954672702513E-4</v>
      </c>
      <c r="I84" s="4">
        <v>3.0132272951827958E-5</v>
      </c>
      <c r="J84" s="4">
        <v>6.8299818690810052E-4</v>
      </c>
      <c r="K84" s="4">
        <v>1.2052909180731183E-4</v>
      </c>
      <c r="AC84" s="7"/>
    </row>
    <row r="85" spans="1:29" x14ac:dyDescent="0.25">
      <c r="A85" s="7"/>
      <c r="B85" s="4">
        <v>0.1275</v>
      </c>
      <c r="C85" s="1" t="s">
        <v>17</v>
      </c>
      <c r="D85" s="4">
        <v>2.4189519119661889E-4</v>
      </c>
      <c r="E85" s="4">
        <v>4.2687386681756283E-5</v>
      </c>
      <c r="F85" s="4">
        <v>9.6758076478647558E-4</v>
      </c>
      <c r="G85" s="4">
        <v>1.7074954672702513E-4</v>
      </c>
      <c r="H85" s="4">
        <v>7.2568557358985682E-4</v>
      </c>
      <c r="I85" s="4">
        <v>1.2806216004526883E-4</v>
      </c>
      <c r="J85" s="4">
        <v>2.9027422943594273E-3</v>
      </c>
      <c r="K85" s="4">
        <v>5.1224864018107534E-4</v>
      </c>
      <c r="AC85" s="7"/>
    </row>
    <row r="86" spans="1:29" x14ac:dyDescent="0.25">
      <c r="A86" s="7"/>
      <c r="B86" s="4">
        <v>2.2500000000000003E-2</v>
      </c>
      <c r="C86" s="1" t="s">
        <v>18</v>
      </c>
      <c r="D86" s="4">
        <v>4.2687386681756283E-5</v>
      </c>
      <c r="E86" s="4">
        <v>7.5330682379569912E-6</v>
      </c>
      <c r="F86" s="4">
        <v>1.7074954672702513E-4</v>
      </c>
      <c r="G86" s="4">
        <v>3.0132272951827965E-5</v>
      </c>
      <c r="H86" s="4">
        <v>1.2806216004526886E-4</v>
      </c>
      <c r="I86" s="4">
        <v>2.2599204713870972E-5</v>
      </c>
      <c r="J86" s="4">
        <v>5.1224864018107545E-4</v>
      </c>
      <c r="K86" s="4">
        <v>9.0396818855483887E-5</v>
      </c>
      <c r="AC86" s="7"/>
    </row>
    <row r="87" spans="1:29" x14ac:dyDescent="0.25">
      <c r="A87" s="7"/>
      <c r="B87" s="4">
        <v>0.51</v>
      </c>
      <c r="C87" s="1" t="s">
        <v>19</v>
      </c>
      <c r="D87" s="4">
        <v>9.6758076478647558E-4</v>
      </c>
      <c r="E87" s="4">
        <v>1.7074954672702513E-4</v>
      </c>
      <c r="F87" s="4">
        <v>3.8703230591459023E-3</v>
      </c>
      <c r="G87" s="4">
        <v>6.8299818690810052E-4</v>
      </c>
      <c r="H87" s="4">
        <v>2.9027422943594273E-3</v>
      </c>
      <c r="I87" s="4">
        <v>5.1224864018107534E-4</v>
      </c>
      <c r="J87" s="4">
        <v>1.1610969177437709E-2</v>
      </c>
      <c r="K87" s="4">
        <v>2.0489945607243014E-3</v>
      </c>
      <c r="AC87" s="7"/>
    </row>
    <row r="88" spans="1:29" x14ac:dyDescent="0.25">
      <c r="A88" s="7"/>
      <c r="B88" s="4">
        <v>9.0000000000000011E-2</v>
      </c>
      <c r="C88" s="1" t="s">
        <v>20</v>
      </c>
      <c r="D88" s="4">
        <v>1.7074954672702513E-4</v>
      </c>
      <c r="E88" s="4">
        <v>3.0132272951827965E-5</v>
      </c>
      <c r="F88" s="4">
        <v>6.8299818690810052E-4</v>
      </c>
      <c r="G88" s="4">
        <v>1.2052909180731186E-4</v>
      </c>
      <c r="H88" s="4">
        <v>5.1224864018107545E-4</v>
      </c>
      <c r="I88" s="4">
        <v>9.0396818855483887E-5</v>
      </c>
      <c r="J88" s="4">
        <v>2.0489945607243018E-3</v>
      </c>
      <c r="K88" s="4">
        <v>3.6158727542193555E-4</v>
      </c>
      <c r="AC88" s="7"/>
    </row>
    <row r="89" spans="1:29" x14ac:dyDescent="0.25">
      <c r="A89" s="7"/>
      <c r="AC89" s="7"/>
    </row>
    <row r="90" spans="1:29" x14ac:dyDescent="0.25">
      <c r="A90" s="7"/>
      <c r="C90" s="1" t="s">
        <v>32</v>
      </c>
      <c r="D90" s="4">
        <v>0</v>
      </c>
      <c r="E90" s="4">
        <v>0</v>
      </c>
      <c r="F90" s="4">
        <v>0</v>
      </c>
      <c r="G90" s="4">
        <v>0</v>
      </c>
      <c r="H90" s="4">
        <v>0</v>
      </c>
      <c r="I90" s="4">
        <v>0</v>
      </c>
      <c r="J90" s="4">
        <v>0</v>
      </c>
      <c r="K90" s="4">
        <v>0</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7.4999999999999997E-3</v>
      </c>
      <c r="C92" s="1" t="s">
        <v>13</v>
      </c>
      <c r="D92" s="4">
        <v>0</v>
      </c>
      <c r="E92" s="4">
        <v>0</v>
      </c>
      <c r="F92" s="4">
        <v>0</v>
      </c>
      <c r="G92" s="4">
        <v>0</v>
      </c>
      <c r="H92" s="4">
        <v>0</v>
      </c>
      <c r="I92" s="4">
        <v>0</v>
      </c>
      <c r="J92" s="4">
        <v>0</v>
      </c>
      <c r="K92" s="4">
        <v>0</v>
      </c>
      <c r="AC92" s="7"/>
    </row>
    <row r="93" spans="1:29" x14ac:dyDescent="0.25">
      <c r="A93" s="7"/>
      <c r="B93" s="4">
        <v>4.2500000000000003E-2</v>
      </c>
      <c r="C93" s="1" t="s">
        <v>14</v>
      </c>
      <c r="D93" s="4">
        <v>0</v>
      </c>
      <c r="E93" s="4">
        <v>0</v>
      </c>
      <c r="F93" s="4">
        <v>0</v>
      </c>
      <c r="G93" s="4">
        <v>0</v>
      </c>
      <c r="H93" s="4">
        <v>0</v>
      </c>
      <c r="I93" s="4">
        <v>0</v>
      </c>
      <c r="J93" s="4">
        <v>0</v>
      </c>
      <c r="K93" s="4">
        <v>0</v>
      </c>
      <c r="AC93" s="7"/>
    </row>
    <row r="94" spans="1:29" x14ac:dyDescent="0.25">
      <c r="A94" s="7"/>
      <c r="B94" s="4">
        <v>0.03</v>
      </c>
      <c r="C94" s="1" t="s">
        <v>15</v>
      </c>
      <c r="D94" s="4">
        <v>0</v>
      </c>
      <c r="E94" s="4">
        <v>0</v>
      </c>
      <c r="F94" s="4">
        <v>0</v>
      </c>
      <c r="G94" s="4">
        <v>0</v>
      </c>
      <c r="H94" s="4">
        <v>0</v>
      </c>
      <c r="I94" s="4">
        <v>0</v>
      </c>
      <c r="J94" s="4">
        <v>0</v>
      </c>
      <c r="K94" s="4">
        <v>0</v>
      </c>
      <c r="AC94" s="7"/>
    </row>
    <row r="95" spans="1:29" x14ac:dyDescent="0.25">
      <c r="A95" s="7"/>
      <c r="B95" s="4">
        <v>0.17</v>
      </c>
      <c r="C95" s="1" t="s">
        <v>16</v>
      </c>
      <c r="D95" s="4">
        <v>0</v>
      </c>
      <c r="E95" s="4">
        <v>0</v>
      </c>
      <c r="F95" s="4">
        <v>0</v>
      </c>
      <c r="G95" s="4">
        <v>0</v>
      </c>
      <c r="H95" s="4">
        <v>0</v>
      </c>
      <c r="I95" s="4">
        <v>0</v>
      </c>
      <c r="J95" s="4">
        <v>0</v>
      </c>
      <c r="K95" s="4">
        <v>0</v>
      </c>
      <c r="AC95" s="7"/>
    </row>
    <row r="96" spans="1:29" x14ac:dyDescent="0.25">
      <c r="A96" s="7"/>
      <c r="B96" s="4">
        <v>2.2500000000000003E-2</v>
      </c>
      <c r="C96" s="1" t="s">
        <v>17</v>
      </c>
      <c r="D96" s="4">
        <v>0</v>
      </c>
      <c r="E96" s="4">
        <v>0</v>
      </c>
      <c r="F96" s="4">
        <v>0</v>
      </c>
      <c r="G96" s="4">
        <v>0</v>
      </c>
      <c r="H96" s="4">
        <v>0</v>
      </c>
      <c r="I96" s="4">
        <v>0</v>
      </c>
      <c r="J96" s="4">
        <v>0</v>
      </c>
      <c r="K96" s="4">
        <v>0</v>
      </c>
      <c r="AC96" s="7"/>
    </row>
    <row r="97" spans="1:29" x14ac:dyDescent="0.25">
      <c r="A97" s="7"/>
      <c r="B97" s="4">
        <v>0.1275</v>
      </c>
      <c r="C97" s="1" t="s">
        <v>18</v>
      </c>
      <c r="D97" s="4">
        <v>0</v>
      </c>
      <c r="E97" s="4">
        <v>0</v>
      </c>
      <c r="F97" s="4">
        <v>0</v>
      </c>
      <c r="G97" s="4">
        <v>0</v>
      </c>
      <c r="H97" s="4">
        <v>0</v>
      </c>
      <c r="I97" s="4">
        <v>0</v>
      </c>
      <c r="J97" s="4">
        <v>0</v>
      </c>
      <c r="K97" s="4">
        <v>0</v>
      </c>
      <c r="AC97" s="7"/>
    </row>
    <row r="98" spans="1:29" x14ac:dyDescent="0.25">
      <c r="A98" s="7"/>
      <c r="B98" s="4">
        <v>9.0000000000000011E-2</v>
      </c>
      <c r="C98" s="1" t="s">
        <v>19</v>
      </c>
      <c r="D98" s="4">
        <v>0</v>
      </c>
      <c r="E98" s="4">
        <v>0</v>
      </c>
      <c r="F98" s="4">
        <v>0</v>
      </c>
      <c r="G98" s="4">
        <v>0</v>
      </c>
      <c r="H98" s="4">
        <v>0</v>
      </c>
      <c r="I98" s="4">
        <v>0</v>
      </c>
      <c r="J98" s="4">
        <v>0</v>
      </c>
      <c r="K98" s="4">
        <v>0</v>
      </c>
      <c r="AC98" s="7"/>
    </row>
    <row r="99" spans="1:29" x14ac:dyDescent="0.25">
      <c r="A99" s="7"/>
      <c r="B99" s="4">
        <v>0.51</v>
      </c>
      <c r="C99" s="1" t="s">
        <v>20</v>
      </c>
      <c r="D99" s="4">
        <v>0</v>
      </c>
      <c r="E99" s="4">
        <v>0</v>
      </c>
      <c r="F99" s="4">
        <v>0</v>
      </c>
      <c r="G99" s="4">
        <v>0</v>
      </c>
      <c r="H99" s="4">
        <v>0</v>
      </c>
      <c r="I99" s="4">
        <v>0</v>
      </c>
      <c r="J99" s="4">
        <v>0</v>
      </c>
      <c r="K99" s="4">
        <v>0</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8.7008115883159595E-3</v>
      </c>
      <c r="E103" s="4">
        <v>3.5951079735128217E-3</v>
      </c>
      <c r="F103" s="4">
        <v>6.3135539497364401E-3</v>
      </c>
      <c r="G103" s="4">
        <v>7.1787947588444019E-3</v>
      </c>
      <c r="H103" s="4">
        <v>2.3374625297455133E-2</v>
      </c>
      <c r="I103" s="4">
        <v>6.3574778532573982E-3</v>
      </c>
      <c r="J103" s="4">
        <v>8.0294239792383301E-3</v>
      </c>
      <c r="K103" s="4">
        <v>3.8250000074089362E-3</v>
      </c>
      <c r="L103" s="7">
        <v>6.7374795407769417E-2</v>
      </c>
      <c r="AC103" s="7"/>
    </row>
    <row r="104" spans="1:29" x14ac:dyDescent="0.25">
      <c r="A104" s="7"/>
      <c r="C104" s="1" t="s">
        <v>14</v>
      </c>
      <c r="D104" s="4">
        <v>3.5951079735128213E-3</v>
      </c>
      <c r="E104" s="4">
        <v>1.23058977471119E-2</v>
      </c>
      <c r="F104" s="4">
        <v>7.1787947588444019E-3</v>
      </c>
      <c r="G104" s="4">
        <v>3.5633129150962221E-2</v>
      </c>
      <c r="H104" s="4">
        <v>6.357477853257399E-3</v>
      </c>
      <c r="I104" s="4">
        <v>1.3772990394127313E-2</v>
      </c>
      <c r="J104" s="4">
        <v>3.8250000074089362E-3</v>
      </c>
      <c r="K104" s="4">
        <v>1.4320576064053101E-2</v>
      </c>
      <c r="L104" s="7">
        <v>9.6988973949278079E-2</v>
      </c>
      <c r="T104" s="6"/>
      <c r="AC104" s="7"/>
    </row>
    <row r="105" spans="1:29" x14ac:dyDescent="0.25">
      <c r="A105" s="7"/>
      <c r="C105" s="1" t="s">
        <v>15</v>
      </c>
      <c r="D105" s="4">
        <v>6.3135539497364401E-3</v>
      </c>
      <c r="E105" s="4">
        <v>7.1787947588444019E-3</v>
      </c>
      <c r="F105" s="4">
        <v>1.8131792698063913E-2</v>
      </c>
      <c r="G105" s="4">
        <v>2.6914769751575886E-2</v>
      </c>
      <c r="H105" s="4">
        <v>8.0294239792383301E-3</v>
      </c>
      <c r="I105" s="4">
        <v>3.8250000074089362E-3</v>
      </c>
      <c r="J105" s="4">
        <v>1.075042661430777E-2</v>
      </c>
      <c r="K105" s="4">
        <v>9.8987721782305815E-3</v>
      </c>
      <c r="L105" s="7">
        <v>9.1042533937406245E-2</v>
      </c>
      <c r="AC105" s="7"/>
    </row>
    <row r="106" spans="1:29" x14ac:dyDescent="0.25">
      <c r="A106" s="7"/>
      <c r="C106" s="1" t="s">
        <v>16</v>
      </c>
      <c r="D106" s="4">
        <v>7.1787947588444019E-3</v>
      </c>
      <c r="E106" s="4">
        <v>3.5633129150962221E-2</v>
      </c>
      <c r="F106" s="4">
        <v>2.6914769751575886E-2</v>
      </c>
      <c r="G106" s="4">
        <v>0.13913490114447752</v>
      </c>
      <c r="H106" s="4">
        <v>3.8250000074089362E-3</v>
      </c>
      <c r="I106" s="4">
        <v>1.4320576064053101E-2</v>
      </c>
      <c r="J106" s="4">
        <v>9.8987721782305815E-3</v>
      </c>
      <c r="K106" s="4">
        <v>4.7089457878098366E-2</v>
      </c>
      <c r="L106" s="7">
        <v>0.283995400933651</v>
      </c>
      <c r="AC106" s="7"/>
    </row>
    <row r="107" spans="1:29" x14ac:dyDescent="0.25">
      <c r="A107" s="7"/>
      <c r="C107" s="1" t="s">
        <v>17</v>
      </c>
      <c r="D107" s="4">
        <v>2.337462529745513E-2</v>
      </c>
      <c r="E107" s="4">
        <v>6.3574778532573982E-3</v>
      </c>
      <c r="F107" s="4">
        <v>8.0294239792383301E-3</v>
      </c>
      <c r="G107" s="4">
        <v>3.8250000074089353E-3</v>
      </c>
      <c r="H107" s="4">
        <v>6.9214606069867832E-2</v>
      </c>
      <c r="I107" s="4">
        <v>1.7596484870678508E-2</v>
      </c>
      <c r="J107" s="4">
        <v>2.0451192647724659E-2</v>
      </c>
      <c r="K107" s="4">
        <v>5.5712052658520523E-3</v>
      </c>
      <c r="L107" s="7">
        <v>0.15442001599148283</v>
      </c>
      <c r="AC107" s="7"/>
    </row>
    <row r="108" spans="1:29" x14ac:dyDescent="0.25">
      <c r="A108" s="7"/>
      <c r="C108" s="1" t="s">
        <v>18</v>
      </c>
      <c r="D108" s="4">
        <v>6.3574778532573982E-3</v>
      </c>
      <c r="E108" s="4">
        <v>1.3772990394127309E-2</v>
      </c>
      <c r="F108" s="4">
        <v>3.8250000074089357E-3</v>
      </c>
      <c r="G108" s="4">
        <v>1.4320576064053098E-2</v>
      </c>
      <c r="H108" s="4">
        <v>1.7596484870678508E-2</v>
      </c>
      <c r="I108" s="4">
        <v>3.3604070233312466E-2</v>
      </c>
      <c r="J108" s="4">
        <v>5.5712052658520523E-3</v>
      </c>
      <c r="K108" s="4">
        <v>1.2102124395881446E-2</v>
      </c>
      <c r="L108" s="7">
        <v>0.10714992908457122</v>
      </c>
      <c r="AC108" s="7"/>
    </row>
    <row r="109" spans="1:29" x14ac:dyDescent="0.25">
      <c r="A109" s="7"/>
      <c r="C109" s="1" t="s">
        <v>19</v>
      </c>
      <c r="D109" s="4">
        <v>8.0294239792383301E-3</v>
      </c>
      <c r="E109" s="4">
        <v>3.8250000074089353E-3</v>
      </c>
      <c r="F109" s="4">
        <v>1.0750426614307768E-2</v>
      </c>
      <c r="G109" s="4">
        <v>9.898772178230578E-3</v>
      </c>
      <c r="H109" s="4">
        <v>2.0451192647724659E-2</v>
      </c>
      <c r="I109" s="4">
        <v>5.5712052658520523E-3</v>
      </c>
      <c r="J109" s="4">
        <v>1.7702962682961985E-2</v>
      </c>
      <c r="K109" s="4">
        <v>6.0811375091927126E-3</v>
      </c>
      <c r="L109" s="7">
        <v>8.2310120884917015E-2</v>
      </c>
      <c r="AC109" s="7"/>
    </row>
    <row r="110" spans="1:29" x14ac:dyDescent="0.25">
      <c r="A110" s="7"/>
      <c r="C110" s="1" t="s">
        <v>20</v>
      </c>
      <c r="D110" s="4">
        <v>3.8250000074089357E-3</v>
      </c>
      <c r="E110" s="4">
        <v>1.4320576064053098E-2</v>
      </c>
      <c r="F110" s="4">
        <v>9.8987721782305797E-3</v>
      </c>
      <c r="G110" s="4">
        <v>4.7089457878098352E-2</v>
      </c>
      <c r="H110" s="4">
        <v>5.5712052658520523E-3</v>
      </c>
      <c r="I110" s="4">
        <v>1.2102124395881446E-2</v>
      </c>
      <c r="J110" s="4">
        <v>6.0811375091927126E-3</v>
      </c>
      <c r="K110" s="4">
        <v>1.7829958449183673E-2</v>
      </c>
      <c r="L110" s="7">
        <v>0.11671823174790086</v>
      </c>
      <c r="AC110" s="7"/>
    </row>
    <row r="111" spans="1:29" x14ac:dyDescent="0.25">
      <c r="A111" s="7"/>
      <c r="D111" s="3">
        <v>6.7374795407769417E-2</v>
      </c>
      <c r="E111" s="3">
        <v>9.6988973949278079E-2</v>
      </c>
      <c r="F111" s="3">
        <v>9.1042533937406245E-2</v>
      </c>
      <c r="G111" s="3">
        <v>0.283995400933651</v>
      </c>
      <c r="H111" s="3">
        <v>0.15442001599148283</v>
      </c>
      <c r="I111" s="3">
        <v>0.10714992908457123</v>
      </c>
      <c r="J111" s="3">
        <v>8.2310120884917029E-2</v>
      </c>
      <c r="K111" s="3">
        <v>0.11671823174790087</v>
      </c>
      <c r="L111" s="7">
        <v>1.0000000019369768</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0.4605982977088719</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0.57406628750387512</v>
      </c>
      <c r="R114" t="s">
        <v>58</v>
      </c>
      <c r="W114" s="1" t="s">
        <v>45</v>
      </c>
      <c r="X114" s="7" t="s">
        <v>47</v>
      </c>
      <c r="Y114" s="7" t="s">
        <v>48</v>
      </c>
      <c r="Z114" s="7" t="s">
        <v>49</v>
      </c>
      <c r="AA114" s="7" t="s">
        <v>50</v>
      </c>
      <c r="AB114" s="7"/>
      <c r="AC114" s="7"/>
    </row>
    <row r="115" spans="1:29" x14ac:dyDescent="0.25">
      <c r="A115" s="7"/>
      <c r="C115" s="1" t="s">
        <v>13</v>
      </c>
      <c r="D115" s="5">
        <v>1.740162317663192</v>
      </c>
      <c r="E115" s="5">
        <v>0.71902159470256433</v>
      </c>
      <c r="F115" s="5">
        <v>1.262710789947288</v>
      </c>
      <c r="G115" s="5">
        <v>1.4357589517688805</v>
      </c>
      <c r="H115" s="5">
        <v>4.6749250594910263</v>
      </c>
      <c r="I115" s="5">
        <v>1.2714955706514797</v>
      </c>
      <c r="J115" s="5">
        <v>1.6058847958476661</v>
      </c>
      <c r="K115" s="5">
        <v>0.76500000148178726</v>
      </c>
      <c r="L115" s="13">
        <v>13.474959081553884</v>
      </c>
      <c r="N115" t="s">
        <v>38</v>
      </c>
      <c r="O115" s="8">
        <v>0.6048525357154011</v>
      </c>
      <c r="W115" s="1" t="s">
        <v>13</v>
      </c>
      <c r="X115" s="5">
        <v>13.474959081553884</v>
      </c>
      <c r="Y115" s="5">
        <v>1.740162317663192</v>
      </c>
      <c r="Z115" s="5">
        <v>11.734796763890692</v>
      </c>
      <c r="AA115" s="8">
        <v>133.81662372965883</v>
      </c>
      <c r="AB115" s="8">
        <v>4.4980053020085542</v>
      </c>
      <c r="AC115" s="7"/>
    </row>
    <row r="116" spans="1:29" x14ac:dyDescent="0.25">
      <c r="A116" s="7"/>
      <c r="C116" s="1" t="s">
        <v>14</v>
      </c>
      <c r="D116" s="5">
        <v>0.71902159470256422</v>
      </c>
      <c r="E116" s="5">
        <v>2.46117954942238</v>
      </c>
      <c r="F116" s="5">
        <v>1.4357589517688805</v>
      </c>
      <c r="G116" s="5">
        <v>7.1266258301924443</v>
      </c>
      <c r="H116" s="5">
        <v>1.2714955706514799</v>
      </c>
      <c r="I116" s="5">
        <v>2.7545980788254627</v>
      </c>
      <c r="J116" s="5">
        <v>0.76500000148178726</v>
      </c>
      <c r="K116" s="5">
        <v>2.8641152128106202</v>
      </c>
      <c r="L116" s="13">
        <v>19.39779478985562</v>
      </c>
      <c r="M116" s="10" t="s">
        <v>39</v>
      </c>
      <c r="N116" s="10">
        <v>1</v>
      </c>
      <c r="O116" s="10">
        <v>2</v>
      </c>
      <c r="P116" s="10" t="s">
        <v>39</v>
      </c>
      <c r="Q116" s="10">
        <v>1</v>
      </c>
      <c r="R116" s="10">
        <v>2</v>
      </c>
      <c r="S116" s="10" t="s">
        <v>11</v>
      </c>
      <c r="T116" s="10" t="s">
        <v>42</v>
      </c>
      <c r="U116" s="10" t="s">
        <v>43</v>
      </c>
      <c r="V116" s="10"/>
      <c r="W116" s="1" t="s">
        <v>14</v>
      </c>
      <c r="X116" s="5">
        <v>19.39779478985562</v>
      </c>
      <c r="Y116" s="5">
        <v>2.46117954942238</v>
      </c>
      <c r="Z116" s="5">
        <v>16.936615240433241</v>
      </c>
      <c r="AA116" s="8">
        <v>0.86748879257966705</v>
      </c>
      <c r="AB116" s="8">
        <v>4.7154104183039101</v>
      </c>
      <c r="AC116" s="7"/>
    </row>
    <row r="117" spans="1:29" x14ac:dyDescent="0.25">
      <c r="A117" s="7"/>
      <c r="C117" s="1" t="s">
        <v>15</v>
      </c>
      <c r="D117" s="5">
        <v>1.262710789947288</v>
      </c>
      <c r="E117" s="5">
        <v>1.4357589517688805</v>
      </c>
      <c r="F117" s="5">
        <v>3.6263585396127826</v>
      </c>
      <c r="G117" s="5">
        <v>5.3829539503151773</v>
      </c>
      <c r="H117" s="5">
        <v>1.6058847958476661</v>
      </c>
      <c r="I117" s="5">
        <v>0.76500000148178726</v>
      </c>
      <c r="J117" s="5">
        <v>2.1500853228615542</v>
      </c>
      <c r="K117" s="5">
        <v>1.9797544356461163</v>
      </c>
      <c r="L117" s="13">
        <v>18.208506787481255</v>
      </c>
      <c r="M117" s="10">
        <v>1</v>
      </c>
      <c r="N117" s="5">
        <v>70.380340772984326</v>
      </c>
      <c r="O117" s="5">
        <v>37.500000072636638</v>
      </c>
      <c r="P117" s="10">
        <v>1</v>
      </c>
      <c r="Q117">
        <v>9.8880223036076966</v>
      </c>
      <c r="R117">
        <v>6.6666685907306377E-3</v>
      </c>
      <c r="S117" s="12">
        <v>23.626872329694493</v>
      </c>
      <c r="T117">
        <v>0.99999883057032857</v>
      </c>
      <c r="U117">
        <v>1.1694296714326313E-6</v>
      </c>
      <c r="W117" s="1" t="s">
        <v>15</v>
      </c>
      <c r="X117" s="5">
        <v>18.208506787481255</v>
      </c>
      <c r="Y117" s="5">
        <v>3.6263585396127826</v>
      </c>
      <c r="Z117" s="5">
        <v>14.582148247868473</v>
      </c>
      <c r="AA117" s="8">
        <v>3.6263585396127826</v>
      </c>
      <c r="AB117" s="8">
        <v>0.17166147509158527</v>
      </c>
      <c r="AC117" s="7"/>
    </row>
    <row r="118" spans="1:29" x14ac:dyDescent="0.25">
      <c r="A118" s="7"/>
      <c r="C118" s="1" t="s">
        <v>16</v>
      </c>
      <c r="D118" s="5">
        <v>1.4357589517688805</v>
      </c>
      <c r="E118" s="5">
        <v>7.1266258301924443</v>
      </c>
      <c r="F118" s="5">
        <v>5.3829539503151773</v>
      </c>
      <c r="G118" s="5">
        <v>27.826980228895504</v>
      </c>
      <c r="H118" s="5">
        <v>0.76500000148178726</v>
      </c>
      <c r="I118" s="5">
        <v>2.8641152128106202</v>
      </c>
      <c r="J118" s="5">
        <v>1.9797544356461163</v>
      </c>
      <c r="K118" s="5">
        <v>9.4178915756196737</v>
      </c>
      <c r="L118" s="13">
        <v>56.799080186730194</v>
      </c>
      <c r="M118" s="10">
        <v>2</v>
      </c>
      <c r="N118" s="5">
        <v>37.500000072636624</v>
      </c>
      <c r="O118" s="5">
        <v>54.619659469137773</v>
      </c>
      <c r="P118" s="10">
        <v>2</v>
      </c>
      <c r="Q118">
        <v>6.6666685907302613E-3</v>
      </c>
      <c r="R118">
        <v>13.725516688905335</v>
      </c>
      <c r="W118" s="1" t="s">
        <v>16</v>
      </c>
      <c r="X118" s="5">
        <v>56.799080186730194</v>
      </c>
      <c r="Y118" s="5">
        <v>27.826980228895504</v>
      </c>
      <c r="Z118" s="5">
        <v>28.97209995783469</v>
      </c>
      <c r="AA118" s="8">
        <v>22.150407346245967</v>
      </c>
      <c r="AB118" s="8">
        <v>2.7784861218390442</v>
      </c>
      <c r="AC118" s="7"/>
    </row>
    <row r="119" spans="1:29" x14ac:dyDescent="0.25">
      <c r="A119" s="7"/>
      <c r="C119" s="1" t="s">
        <v>17</v>
      </c>
      <c r="D119" s="5">
        <v>4.6749250594910263</v>
      </c>
      <c r="E119" s="5">
        <v>1.2714955706514797</v>
      </c>
      <c r="F119" s="5">
        <v>1.6058847958476661</v>
      </c>
      <c r="G119" s="5">
        <v>0.76500000148178704</v>
      </c>
      <c r="H119" s="5">
        <v>13.842921213973566</v>
      </c>
      <c r="I119" s="5">
        <v>3.5192969741357016</v>
      </c>
      <c r="J119" s="5">
        <v>4.0902385295449317</v>
      </c>
      <c r="K119" s="5">
        <v>1.1142410531704106</v>
      </c>
      <c r="L119" s="13">
        <v>30.884003198296568</v>
      </c>
      <c r="M119" s="10" t="s">
        <v>40</v>
      </c>
      <c r="N119" s="10">
        <v>1</v>
      </c>
      <c r="O119" s="10">
        <v>2</v>
      </c>
      <c r="P119" s="10" t="s">
        <v>40</v>
      </c>
      <c r="Q119" s="10">
        <v>1</v>
      </c>
      <c r="R119" s="10">
        <v>2</v>
      </c>
      <c r="S119" s="10" t="s">
        <v>11</v>
      </c>
      <c r="T119" s="10" t="s">
        <v>42</v>
      </c>
      <c r="U119" s="10" t="s">
        <v>43</v>
      </c>
      <c r="W119" s="1" t="s">
        <v>17</v>
      </c>
      <c r="X119" s="5">
        <v>30.884003198296568</v>
      </c>
      <c r="Y119" s="5">
        <v>13.842921213973566</v>
      </c>
      <c r="Z119" s="5">
        <v>17.041081984323</v>
      </c>
      <c r="AA119" s="8">
        <v>10.131877564889026</v>
      </c>
      <c r="AB119" s="8">
        <v>0.95829264943640724</v>
      </c>
      <c r="AC119" s="7"/>
    </row>
    <row r="120" spans="1:29" x14ac:dyDescent="0.25">
      <c r="A120" s="7"/>
      <c r="C120" s="1" t="s">
        <v>18</v>
      </c>
      <c r="D120" s="5">
        <v>1.2714955706514797</v>
      </c>
      <c r="E120" s="5">
        <v>2.7545980788254618</v>
      </c>
      <c r="F120" s="5">
        <v>0.76500000148178715</v>
      </c>
      <c r="G120" s="5">
        <v>2.8641152128106198</v>
      </c>
      <c r="H120" s="5">
        <v>3.5192969741357016</v>
      </c>
      <c r="I120" s="5">
        <v>6.7208140466624933</v>
      </c>
      <c r="J120" s="5">
        <v>1.1142410531704106</v>
      </c>
      <c r="K120" s="5">
        <v>2.4204248791762892</v>
      </c>
      <c r="L120" s="13">
        <v>21.42998581691424</v>
      </c>
      <c r="M120" s="10">
        <v>1</v>
      </c>
      <c r="N120" s="5">
        <v>53.186742824637051</v>
      </c>
      <c r="O120" s="5">
        <v>32.000000061983258</v>
      </c>
      <c r="P120" s="10">
        <v>1</v>
      </c>
      <c r="Q120">
        <v>0.71964900923521125</v>
      </c>
      <c r="R120">
        <v>1.2006013187281254E-16</v>
      </c>
      <c r="S120" s="12">
        <v>1.0757539769353428</v>
      </c>
      <c r="T120">
        <v>0.70035063404738374</v>
      </c>
      <c r="U120">
        <v>0.29964936595261626</v>
      </c>
      <c r="W120" s="1" t="s">
        <v>18</v>
      </c>
      <c r="X120" s="5">
        <v>21.42998581691424</v>
      </c>
      <c r="Y120" s="5">
        <v>6.7208140466624933</v>
      </c>
      <c r="Z120" s="5">
        <v>14.709171770251746</v>
      </c>
      <c r="AA120" s="8">
        <v>3.3159800447436885</v>
      </c>
      <c r="AB120" s="8">
        <v>0.3567769865074939</v>
      </c>
      <c r="AC120" s="7"/>
    </row>
    <row r="121" spans="1:29" x14ac:dyDescent="0.25">
      <c r="A121" s="7"/>
      <c r="C121" s="1" t="s">
        <v>19</v>
      </c>
      <c r="D121" s="5">
        <v>1.6058847958476661</v>
      </c>
      <c r="E121" s="5">
        <v>0.76500000148178704</v>
      </c>
      <c r="F121" s="5">
        <v>2.1500853228615537</v>
      </c>
      <c r="G121" s="5">
        <v>1.9797544356461156</v>
      </c>
      <c r="H121" s="5">
        <v>4.0902385295449317</v>
      </c>
      <c r="I121" s="5">
        <v>1.1142410531704106</v>
      </c>
      <c r="J121" s="5">
        <v>3.5405925365923969</v>
      </c>
      <c r="K121" s="5">
        <v>1.2162275018385424</v>
      </c>
      <c r="L121" s="13">
        <v>16.462024176983405</v>
      </c>
      <c r="M121" s="10">
        <v>2</v>
      </c>
      <c r="N121" s="5">
        <v>32.000000061983258</v>
      </c>
      <c r="O121" s="5">
        <v>82.81325743879178</v>
      </c>
      <c r="P121" s="10">
        <v>2</v>
      </c>
      <c r="Q121">
        <v>3.1249996065516001E-2</v>
      </c>
      <c r="R121">
        <v>0.32485497163461541</v>
      </c>
      <c r="W121" s="1" t="s">
        <v>19</v>
      </c>
      <c r="X121" s="5">
        <v>16.462024176983405</v>
      </c>
      <c r="Y121" s="5">
        <v>3.5405925365923969</v>
      </c>
      <c r="Z121" s="5">
        <v>12.921431640391008</v>
      </c>
      <c r="AA121" s="8">
        <v>0.67034693748986773</v>
      </c>
      <c r="AB121" s="8">
        <v>9.0029474962607922E-2</v>
      </c>
      <c r="AC121" s="7"/>
    </row>
    <row r="122" spans="1:29" x14ac:dyDescent="0.25">
      <c r="A122" s="7"/>
      <c r="C122" s="1" t="s">
        <v>20</v>
      </c>
      <c r="D122" s="5">
        <v>0.76500000148178715</v>
      </c>
      <c r="E122" s="5">
        <v>2.8641152128106198</v>
      </c>
      <c r="F122" s="5">
        <v>1.9797544356461159</v>
      </c>
      <c r="G122" s="5">
        <v>9.4178915756196702</v>
      </c>
      <c r="H122" s="5">
        <v>1.1142410531704106</v>
      </c>
      <c r="I122" s="5">
        <v>2.4204248791762892</v>
      </c>
      <c r="J122" s="5">
        <v>1.2162275018385424</v>
      </c>
      <c r="K122" s="5">
        <v>3.5659916898367348</v>
      </c>
      <c r="L122" s="13">
        <v>23.343646349580169</v>
      </c>
      <c r="M122" s="10" t="s">
        <v>41</v>
      </c>
      <c r="N122" s="10">
        <v>1</v>
      </c>
      <c r="O122" s="10">
        <v>2</v>
      </c>
      <c r="P122" s="10" t="s">
        <v>41</v>
      </c>
      <c r="Q122" s="10">
        <v>1</v>
      </c>
      <c r="R122" s="10">
        <v>2</v>
      </c>
      <c r="S122" s="10" t="s">
        <v>11</v>
      </c>
      <c r="T122" s="10" t="s">
        <v>42</v>
      </c>
      <c r="U122" s="10" t="s">
        <v>43</v>
      </c>
      <c r="W122" s="1" t="s">
        <v>20</v>
      </c>
      <c r="X122" s="5">
        <v>23.343646349580169</v>
      </c>
      <c r="Y122" s="5">
        <v>3.5659916898367348</v>
      </c>
      <c r="Z122" s="5">
        <v>19.777654659743433</v>
      </c>
      <c r="AA122" s="8">
        <v>294.99925590457639</v>
      </c>
      <c r="AB122" s="8">
        <v>8.8397951781848203</v>
      </c>
      <c r="AC122" s="7"/>
    </row>
    <row r="123" spans="1:29" x14ac:dyDescent="0.25">
      <c r="A123" s="7"/>
      <c r="D123" s="13">
        <v>13.474959081553884</v>
      </c>
      <c r="E123" s="13">
        <v>19.397794789855617</v>
      </c>
      <c r="F123" s="13">
        <v>18.208506787481252</v>
      </c>
      <c r="G123" s="13">
        <v>56.799080186730194</v>
      </c>
      <c r="H123" s="13">
        <v>30.884003198296568</v>
      </c>
      <c r="I123" s="13">
        <v>21.429985816914243</v>
      </c>
      <c r="J123" s="13">
        <v>16.462024176983405</v>
      </c>
      <c r="K123" s="13">
        <v>23.343646349580172</v>
      </c>
      <c r="L123" s="1">
        <v>200.00000038739535</v>
      </c>
      <c r="M123" s="10">
        <v>1</v>
      </c>
      <c r="N123" s="5">
        <v>53.52949319492221</v>
      </c>
      <c r="O123" s="5">
        <v>25.500000049392909</v>
      </c>
      <c r="P123" s="10">
        <v>1</v>
      </c>
      <c r="Q123">
        <v>4.1356015237878031E-3</v>
      </c>
      <c r="R123">
        <v>9.8039196126607463E-3</v>
      </c>
      <c r="S123" s="12">
        <v>0.16610455559663695</v>
      </c>
      <c r="T123">
        <v>0.31640272540831238</v>
      </c>
      <c r="U123">
        <v>0.68359727459168762</v>
      </c>
      <c r="W123" s="1" t="s">
        <v>59</v>
      </c>
      <c r="X123" s="7">
        <v>200.00000038739535</v>
      </c>
      <c r="Y123" s="7">
        <v>63.325000122659063</v>
      </c>
      <c r="Z123" s="7">
        <v>136.6750002647363</v>
      </c>
      <c r="AA123" s="7">
        <v>469.5783388597963</v>
      </c>
      <c r="AB123" s="7">
        <v>22.408457606334423</v>
      </c>
      <c r="AC123" s="11">
        <v>491.98679646613073</v>
      </c>
    </row>
    <row r="124" spans="1:29" x14ac:dyDescent="0.25">
      <c r="A124" s="7"/>
      <c r="M124" s="10">
        <v>2</v>
      </c>
      <c r="N124" s="5">
        <v>25.500000049392909</v>
      </c>
      <c r="O124" s="5">
        <v>95.470507093687345</v>
      </c>
      <c r="P124" s="10">
        <v>2</v>
      </c>
      <c r="Q124">
        <v>8.823528813580693E-2</v>
      </c>
      <c r="R124">
        <v>6.3929746324381476E-2</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38.746994135844425</v>
      </c>
      <c r="E127" s="8">
        <v>4.2854285280701614</v>
      </c>
      <c r="F127" s="8">
        <v>4.6121341222187455</v>
      </c>
      <c r="G127" s="8">
        <v>-0.36169359565063647</v>
      </c>
      <c r="H127" s="8">
        <v>1.4972780200276974</v>
      </c>
      <c r="I127" s="8">
        <v>-0.24019382231241213</v>
      </c>
      <c r="J127" s="8">
        <v>0.4389446024051662</v>
      </c>
      <c r="K127" s="8">
        <v>1.9220532475571392</v>
      </c>
      <c r="L127" s="14">
        <v>50.90094523816029</v>
      </c>
      <c r="AC127" s="7"/>
    </row>
    <row r="128" spans="1:29" x14ac:dyDescent="0.25">
      <c r="A128" s="7"/>
      <c r="C128" s="1" t="s">
        <v>14</v>
      </c>
      <c r="D128" s="8">
        <v>4.2854285280701623</v>
      </c>
      <c r="E128" s="8">
        <v>-0.90064072666000494</v>
      </c>
      <c r="F128" s="8">
        <v>-0.36169359565063647</v>
      </c>
      <c r="G128" s="8">
        <v>-1.9638378868177668</v>
      </c>
      <c r="H128" s="8">
        <v>-0.2401938223124124</v>
      </c>
      <c r="I128" s="8">
        <v>-1.0132715440585591</v>
      </c>
      <c r="J128" s="8">
        <v>0</v>
      </c>
      <c r="K128" s="8">
        <v>-1.0522594762259465</v>
      </c>
      <c r="L128" s="14">
        <v>-1.2464685236551643</v>
      </c>
      <c r="AC128" s="7"/>
    </row>
    <row r="129" spans="1:29" x14ac:dyDescent="0.25">
      <c r="A129" s="7"/>
      <c r="C129" s="1" t="s">
        <v>15</v>
      </c>
      <c r="D129" s="8">
        <v>6.8808854093444811</v>
      </c>
      <c r="E129" s="8">
        <v>-0.36169359565063647</v>
      </c>
      <c r="F129" s="8">
        <v>0</v>
      </c>
      <c r="G129" s="8">
        <v>-1.6832372848915096</v>
      </c>
      <c r="H129" s="8">
        <v>0.4389446024051662</v>
      </c>
      <c r="I129" s="8">
        <v>0.26787944321862434</v>
      </c>
      <c r="J129" s="8">
        <v>-0.7655075264040262</v>
      </c>
      <c r="K129" s="8">
        <v>2.0348731891733595E-2</v>
      </c>
      <c r="L129" s="14">
        <v>4.7976197799138323</v>
      </c>
      <c r="AC129" s="7"/>
    </row>
    <row r="130" spans="1:29" x14ac:dyDescent="0.25">
      <c r="A130" s="7"/>
      <c r="C130" s="1" t="s">
        <v>16</v>
      </c>
      <c r="D130" s="8">
        <v>-0.36169359565063647</v>
      </c>
      <c r="E130" s="8">
        <v>-1.9638378868177668</v>
      </c>
      <c r="F130" s="8">
        <v>-1.6832372848915096</v>
      </c>
      <c r="G130" s="8">
        <v>-6.6821813196513986</v>
      </c>
      <c r="H130" s="8">
        <v>0.26787944321862434</v>
      </c>
      <c r="I130" s="8">
        <v>0.13905843732648979</v>
      </c>
      <c r="J130" s="8">
        <v>2.0348731891733595E-2</v>
      </c>
      <c r="K130" s="8">
        <v>1.7081243685734719</v>
      </c>
      <c r="L130" s="14">
        <v>-8.5555391060009907</v>
      </c>
      <c r="AC130" s="7"/>
    </row>
    <row r="131" spans="1:29" x14ac:dyDescent="0.25">
      <c r="A131" s="7"/>
      <c r="C131" s="1" t="s">
        <v>17</v>
      </c>
      <c r="D131" s="8">
        <v>1.4972780200276974</v>
      </c>
      <c r="E131" s="8">
        <v>-0.24019382231241213</v>
      </c>
      <c r="F131" s="8">
        <v>0.4389446024051662</v>
      </c>
      <c r="G131" s="8">
        <v>0.26787944321862467</v>
      </c>
      <c r="H131" s="8">
        <v>-3.8692536354623468</v>
      </c>
      <c r="I131" s="8">
        <v>0</v>
      </c>
      <c r="J131" s="8">
        <v>-1.4086032885362896</v>
      </c>
      <c r="K131" s="8">
        <v>1.1699473544220997</v>
      </c>
      <c r="L131" s="14">
        <v>-2.1440013262374604</v>
      </c>
      <c r="AC131" s="7"/>
    </row>
    <row r="132" spans="1:29" x14ac:dyDescent="0.25">
      <c r="A132" s="7"/>
      <c r="C132" s="1" t="s">
        <v>18</v>
      </c>
      <c r="D132" s="8">
        <v>-0.24019382231241213</v>
      </c>
      <c r="E132" s="8">
        <v>-1.0132715440585589</v>
      </c>
      <c r="F132" s="8">
        <v>0.2678794432186245</v>
      </c>
      <c r="G132" s="8">
        <v>0.13905843732648979</v>
      </c>
      <c r="H132" s="8">
        <v>-1.2582612464057572</v>
      </c>
      <c r="I132" s="8">
        <v>-2.4241242090694297</v>
      </c>
      <c r="J132" s="8">
        <v>1.1699473544220997</v>
      </c>
      <c r="K132" s="8">
        <v>9.5639875761142079</v>
      </c>
      <c r="L132" s="14">
        <v>6.2050219892352629</v>
      </c>
      <c r="AC132" s="7"/>
    </row>
    <row r="133" spans="1:29" x14ac:dyDescent="0.25">
      <c r="A133" s="7"/>
      <c r="C133" s="1" t="s">
        <v>19</v>
      </c>
      <c r="D133" s="8">
        <v>0.4389446024051662</v>
      </c>
      <c r="E133" s="8">
        <v>0</v>
      </c>
      <c r="F133" s="8">
        <v>-0.76550752640402608</v>
      </c>
      <c r="G133" s="8">
        <v>2.0348731891734036E-2</v>
      </c>
      <c r="H133" s="8">
        <v>-1.4086032885362896</v>
      </c>
      <c r="I133" s="8">
        <v>1.1699473544220997</v>
      </c>
      <c r="J133" s="8">
        <v>-1.1422938315938422</v>
      </c>
      <c r="K133" s="8">
        <v>9.5760336771332621</v>
      </c>
      <c r="L133" s="14">
        <v>7.8888697193181043</v>
      </c>
      <c r="AC133" s="7"/>
    </row>
    <row r="134" spans="1:29" x14ac:dyDescent="0.25">
      <c r="A134" s="7"/>
      <c r="C134" s="1" t="s">
        <v>20</v>
      </c>
      <c r="D134" s="8">
        <v>0.2678794432186245</v>
      </c>
      <c r="E134" s="8">
        <v>-1.0522594762259463</v>
      </c>
      <c r="F134" s="8">
        <v>1.2469184221620937</v>
      </c>
      <c r="G134" s="8">
        <v>1.7081243685734762</v>
      </c>
      <c r="H134" s="8">
        <v>1.1699473544220997</v>
      </c>
      <c r="I134" s="8">
        <v>11.819533344035934</v>
      </c>
      <c r="J134" s="8">
        <v>9.5760336771332621</v>
      </c>
      <c r="K134" s="8">
        <v>83.234762978608089</v>
      </c>
      <c r="L134" s="14">
        <v>107.97094011192763</v>
      </c>
      <c r="AC134" s="7"/>
    </row>
    <row r="135" spans="1:29" x14ac:dyDescent="0.25">
      <c r="A135" s="7"/>
      <c r="D135" s="14">
        <v>51.515522720947509</v>
      </c>
      <c r="E135" s="14">
        <v>-1.2464685236551647</v>
      </c>
      <c r="F135" s="14">
        <v>3.755438183058458</v>
      </c>
      <c r="G135" s="14">
        <v>-8.5555391060009871</v>
      </c>
      <c r="H135" s="14">
        <v>-3.4022625726432181</v>
      </c>
      <c r="I135" s="14">
        <v>9.718829003562746</v>
      </c>
      <c r="J135" s="14">
        <v>7.8888697193181034</v>
      </c>
      <c r="K135" s="14">
        <v>106.14299845807406</v>
      </c>
      <c r="L135" s="2">
        <v>331.63477576532301</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133.81662372965883</v>
      </c>
      <c r="E140" s="8">
        <v>7.2360309116800403</v>
      </c>
      <c r="F140" s="8">
        <v>5.9338625116078916</v>
      </c>
      <c r="G140" s="8">
        <v>0.13225469624463823</v>
      </c>
      <c r="H140" s="8">
        <v>0.37558326082686389</v>
      </c>
      <c r="I140" s="8">
        <v>5.7970980461698095E-2</v>
      </c>
      <c r="J140" s="8">
        <v>9.6723497566988684E-2</v>
      </c>
      <c r="K140" s="8">
        <v>1.9937581612884445</v>
      </c>
      <c r="L140" s="15">
        <v>149.64280774933539</v>
      </c>
      <c r="AC140" s="7"/>
    </row>
    <row r="141" spans="1:29" x14ac:dyDescent="0.25">
      <c r="A141" s="7"/>
      <c r="C141" s="1" t="s">
        <v>14</v>
      </c>
      <c r="D141" s="8">
        <v>7.2360309116800412</v>
      </c>
      <c r="E141" s="8">
        <v>0.86748879257966705</v>
      </c>
      <c r="F141" s="8">
        <v>0.13225469624463823</v>
      </c>
      <c r="G141" s="8">
        <v>5.2669446884890911</v>
      </c>
      <c r="H141" s="8">
        <v>5.7970980461698171E-2</v>
      </c>
      <c r="I141" s="8">
        <v>1.1176274469525149</v>
      </c>
      <c r="J141" s="8">
        <v>0.76500000148178726</v>
      </c>
      <c r="K141" s="8">
        <v>1.2132631784815535</v>
      </c>
      <c r="L141" s="15">
        <v>16.656580696370991</v>
      </c>
      <c r="AC141" s="7"/>
    </row>
    <row r="142" spans="1:29" x14ac:dyDescent="0.25">
      <c r="A142" s="7"/>
      <c r="C142" s="1" t="s">
        <v>15</v>
      </c>
      <c r="D142" s="8">
        <v>11.061385355041981</v>
      </c>
      <c r="E142" s="8">
        <v>0.13225469624463823</v>
      </c>
      <c r="F142" s="8">
        <v>3.6263585396127826</v>
      </c>
      <c r="G142" s="8">
        <v>3.5687255562456812</v>
      </c>
      <c r="H142" s="8">
        <v>9.6723497566988684E-2</v>
      </c>
      <c r="I142" s="8">
        <v>7.2189541433451562E-2</v>
      </c>
      <c r="J142" s="8">
        <v>0.615183144500138</v>
      </c>
      <c r="K142" s="8">
        <v>2.0703723079346247E-4</v>
      </c>
      <c r="L142" s="15">
        <v>19.173027367876454</v>
      </c>
      <c r="AC142" s="7"/>
    </row>
    <row r="143" spans="1:29" x14ac:dyDescent="0.25">
      <c r="A143" s="7"/>
      <c r="C143" s="1" t="s">
        <v>16</v>
      </c>
      <c r="D143" s="8">
        <v>0.13225469624463823</v>
      </c>
      <c r="E143" s="8">
        <v>5.2669446884890911</v>
      </c>
      <c r="F143" s="8">
        <v>3.5687255562456812</v>
      </c>
      <c r="G143" s="8">
        <v>22.150407346245967</v>
      </c>
      <c r="H143" s="8">
        <v>7.2189541433451562E-2</v>
      </c>
      <c r="I143" s="8">
        <v>6.4469038490191323E-3</v>
      </c>
      <c r="J143" s="8">
        <v>2.0703723079346247E-4</v>
      </c>
      <c r="K143" s="8">
        <v>0.26577785976799195</v>
      </c>
      <c r="L143" s="15">
        <v>31.462953629506636</v>
      </c>
      <c r="AC143" s="7"/>
    </row>
    <row r="144" spans="1:29" x14ac:dyDescent="0.25">
      <c r="A144" s="7"/>
      <c r="C144" s="1" t="s">
        <v>17</v>
      </c>
      <c r="D144" s="8">
        <v>0.37558326082686389</v>
      </c>
      <c r="E144" s="8">
        <v>5.7970980461698095E-2</v>
      </c>
      <c r="F144" s="8">
        <v>9.6723497566988684E-2</v>
      </c>
      <c r="G144" s="8">
        <v>7.2189541433451715E-2</v>
      </c>
      <c r="H144" s="8">
        <v>10.131877564889026</v>
      </c>
      <c r="I144" s="8">
        <v>3.5192969741357016</v>
      </c>
      <c r="J144" s="8">
        <v>2.3347230486693595</v>
      </c>
      <c r="K144" s="8">
        <v>0.70412852735616493</v>
      </c>
      <c r="L144" s="15">
        <v>17.292493395339253</v>
      </c>
      <c r="AC144" s="7"/>
    </row>
    <row r="145" spans="1:29" x14ac:dyDescent="0.25">
      <c r="A145" s="7"/>
      <c r="C145" s="1" t="s">
        <v>18</v>
      </c>
      <c r="D145" s="8">
        <v>5.7970980461698095E-2</v>
      </c>
      <c r="E145" s="8">
        <v>1.1176274469525143</v>
      </c>
      <c r="F145" s="8">
        <v>7.2189541433451646E-2</v>
      </c>
      <c r="G145" s="8">
        <v>6.4469038490191739E-3</v>
      </c>
      <c r="H145" s="8">
        <v>1.8034446341227048</v>
      </c>
      <c r="I145" s="8">
        <v>3.3159800447436885</v>
      </c>
      <c r="J145" s="8">
        <v>0.70412852735616493</v>
      </c>
      <c r="K145" s="8">
        <v>12.862063514860887</v>
      </c>
      <c r="L145" s="15">
        <v>19.939851593780126</v>
      </c>
      <c r="AC145" s="7"/>
    </row>
    <row r="146" spans="1:29" x14ac:dyDescent="0.25">
      <c r="A146" s="7"/>
      <c r="C146" s="1" t="s">
        <v>19</v>
      </c>
      <c r="D146" s="8">
        <v>9.6723497566988684E-2</v>
      </c>
      <c r="E146" s="8">
        <v>0.76500000148178704</v>
      </c>
      <c r="F146" s="8">
        <v>0.61518314450013756</v>
      </c>
      <c r="G146" s="8">
        <v>2.0703723079347618E-4</v>
      </c>
      <c r="H146" s="8">
        <v>2.3347230486693595</v>
      </c>
      <c r="I146" s="8">
        <v>0.70412852735616493</v>
      </c>
      <c r="J146" s="8">
        <v>0.67034693748986773</v>
      </c>
      <c r="K146" s="8">
        <v>18.815952837418976</v>
      </c>
      <c r="L146" s="15">
        <v>24.002265031714074</v>
      </c>
      <c r="AC146" s="7"/>
    </row>
    <row r="147" spans="1:29" x14ac:dyDescent="0.25">
      <c r="A147" s="7"/>
      <c r="C147" s="1" t="s">
        <v>20</v>
      </c>
      <c r="D147" s="8">
        <v>7.2189541433451646E-2</v>
      </c>
      <c r="E147" s="8">
        <v>1.2132631784815531</v>
      </c>
      <c r="F147" s="8">
        <v>0.5257727892116405</v>
      </c>
      <c r="G147" s="8">
        <v>0.26577785976799329</v>
      </c>
      <c r="H147" s="8">
        <v>0.70412852735616493</v>
      </c>
      <c r="I147" s="8">
        <v>17.885623777464609</v>
      </c>
      <c r="J147" s="8">
        <v>18.815952837418976</v>
      </c>
      <c r="K147" s="8">
        <v>294.99925590457639</v>
      </c>
      <c r="L147" s="15">
        <v>334.48196441571076</v>
      </c>
      <c r="N147">
        <v>1</v>
      </c>
      <c r="AC147" s="7"/>
    </row>
    <row r="148" spans="1:29" x14ac:dyDescent="0.25">
      <c r="A148" s="7"/>
      <c r="B148" s="7"/>
      <c r="C148" s="7"/>
      <c r="D148" s="15">
        <v>152.8487619729145</v>
      </c>
      <c r="E148" s="15">
        <v>16.656580696370991</v>
      </c>
      <c r="F148" s="15">
        <v>14.571070276423212</v>
      </c>
      <c r="G148" s="15">
        <v>31.462953629506639</v>
      </c>
      <c r="H148" s="15">
        <v>15.576641055326256</v>
      </c>
      <c r="I148" s="15">
        <v>26.679264196396847</v>
      </c>
      <c r="J148" s="15">
        <v>24.002265031714074</v>
      </c>
      <c r="K148" s="15">
        <v>330.85440702098117</v>
      </c>
      <c r="L148" s="16">
        <v>612.65194387963368</v>
      </c>
      <c r="M148" t="s">
        <v>11</v>
      </c>
      <c r="N148" s="7">
        <v>0</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workbookViewId="0">
      <selection activeCell="D15" sqref="D15"/>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0.1</v>
      </c>
      <c r="B2" s="19">
        <v>0.1</v>
      </c>
      <c r="C2" s="19">
        <v>0.1</v>
      </c>
      <c r="D2" s="19">
        <v>0</v>
      </c>
      <c r="E2" s="19">
        <v>0</v>
      </c>
      <c r="F2" s="19">
        <v>0</v>
      </c>
      <c r="G2" s="19">
        <v>0.35870041726276147</v>
      </c>
      <c r="H2" s="19">
        <v>0.13432892713961922</v>
      </c>
      <c r="I2" s="19">
        <v>0.25137431906350838</v>
      </c>
      <c r="J2" s="19">
        <v>0.2555963376935439</v>
      </c>
      <c r="K2" s="19">
        <v>0</v>
      </c>
      <c r="L2" s="1">
        <v>1.000000001159433</v>
      </c>
      <c r="N2" t="s">
        <v>36</v>
      </c>
      <c r="O2" s="4">
        <v>0.6</v>
      </c>
      <c r="P2" s="4">
        <v>0.6</v>
      </c>
      <c r="AC2" s="7"/>
    </row>
    <row r="3" spans="1:29" x14ac:dyDescent="0.25">
      <c r="A3" t="s">
        <v>79</v>
      </c>
      <c r="B3" s="21">
        <v>2.1588711379787413</v>
      </c>
      <c r="C3" s="18" t="s">
        <v>12</v>
      </c>
      <c r="D3" s="1" t="s">
        <v>13</v>
      </c>
      <c r="E3" s="1" t="s">
        <v>14</v>
      </c>
      <c r="F3" s="1" t="s">
        <v>15</v>
      </c>
      <c r="G3" s="1" t="s">
        <v>16</v>
      </c>
      <c r="H3" s="1" t="s">
        <v>17</v>
      </c>
      <c r="I3" s="1" t="s">
        <v>18</v>
      </c>
      <c r="J3" s="1" t="s">
        <v>19</v>
      </c>
      <c r="K3" s="1" t="s">
        <v>20</v>
      </c>
      <c r="L3" s="1"/>
      <c r="N3" t="s">
        <v>37</v>
      </c>
      <c r="O3" s="4">
        <v>0.6</v>
      </c>
      <c r="P3" s="4">
        <v>0.6</v>
      </c>
      <c r="Q3" t="s">
        <v>55</v>
      </c>
      <c r="Y3" s="1" t="s">
        <v>12</v>
      </c>
      <c r="Z3" t="s">
        <v>47</v>
      </c>
      <c r="AA3" t="s">
        <v>48</v>
      </c>
      <c r="AB3" t="s">
        <v>49</v>
      </c>
      <c r="AC3" s="7"/>
    </row>
    <row r="4" spans="1:29" x14ac:dyDescent="0.25">
      <c r="A4" t="s">
        <v>21</v>
      </c>
      <c r="B4">
        <v>1</v>
      </c>
      <c r="C4" s="1" t="s">
        <v>13</v>
      </c>
      <c r="D4">
        <v>0</v>
      </c>
      <c r="G4">
        <v>0</v>
      </c>
      <c r="H4">
        <v>1</v>
      </c>
      <c r="I4">
        <v>1</v>
      </c>
      <c r="L4" s="1">
        <v>2</v>
      </c>
      <c r="N4" t="s">
        <v>38</v>
      </c>
      <c r="O4" s="4">
        <v>0.6</v>
      </c>
      <c r="P4" s="4">
        <v>0.61</v>
      </c>
      <c r="Q4" t="s">
        <v>56</v>
      </c>
      <c r="T4" t="s">
        <v>44</v>
      </c>
      <c r="V4" t="s">
        <v>57</v>
      </c>
      <c r="Y4" s="1" t="s">
        <v>13</v>
      </c>
      <c r="Z4">
        <v>2</v>
      </c>
      <c r="AA4">
        <v>0</v>
      </c>
      <c r="AB4">
        <v>2</v>
      </c>
      <c r="AC4" s="7"/>
    </row>
    <row r="5" spans="1:29" x14ac:dyDescent="0.25">
      <c r="C5" s="1" t="s">
        <v>14</v>
      </c>
      <c r="E5">
        <v>1</v>
      </c>
      <c r="G5">
        <v>2</v>
      </c>
      <c r="H5">
        <v>0</v>
      </c>
      <c r="I5">
        <v>1</v>
      </c>
      <c r="J5">
        <v>1</v>
      </c>
      <c r="L5" s="1">
        <v>5</v>
      </c>
      <c r="M5" s="10" t="s">
        <v>39</v>
      </c>
      <c r="N5" s="10">
        <v>1</v>
      </c>
      <c r="O5" s="10">
        <v>2</v>
      </c>
      <c r="P5" s="10" t="s">
        <v>39</v>
      </c>
      <c r="Q5" s="10">
        <v>1</v>
      </c>
      <c r="R5" s="10">
        <v>2</v>
      </c>
      <c r="S5" s="10" t="s">
        <v>39</v>
      </c>
      <c r="T5" s="10">
        <v>1</v>
      </c>
      <c r="U5" s="10">
        <v>2</v>
      </c>
      <c r="V5" s="10" t="s">
        <v>11</v>
      </c>
      <c r="W5" t="s">
        <v>42</v>
      </c>
      <c r="X5" t="s">
        <v>43</v>
      </c>
      <c r="Y5" s="1" t="s">
        <v>14</v>
      </c>
      <c r="Z5">
        <v>5</v>
      </c>
      <c r="AA5">
        <v>1</v>
      </c>
      <c r="AB5">
        <v>4</v>
      </c>
      <c r="AC5" s="7"/>
    </row>
    <row r="6" spans="1:29" x14ac:dyDescent="0.25">
      <c r="A6" t="s">
        <v>22</v>
      </c>
      <c r="B6" s="20">
        <v>0.1</v>
      </c>
      <c r="C6" s="1" t="s">
        <v>15</v>
      </c>
      <c r="F6">
        <v>0</v>
      </c>
      <c r="G6">
        <v>2</v>
      </c>
      <c r="H6">
        <v>1</v>
      </c>
      <c r="I6">
        <v>0</v>
      </c>
      <c r="J6">
        <v>1</v>
      </c>
      <c r="K6">
        <v>1</v>
      </c>
      <c r="L6" s="1">
        <v>5</v>
      </c>
      <c r="M6" s="10">
        <v>1</v>
      </c>
      <c r="N6">
        <v>29</v>
      </c>
      <c r="O6">
        <v>11</v>
      </c>
      <c r="P6" s="10">
        <v>1</v>
      </c>
      <c r="Q6">
        <v>16</v>
      </c>
      <c r="R6">
        <v>24</v>
      </c>
      <c r="S6" s="10">
        <v>1</v>
      </c>
      <c r="T6">
        <v>10.5625</v>
      </c>
      <c r="U6">
        <v>7.041666666666667</v>
      </c>
      <c r="V6" s="12">
        <v>29.340277777777779</v>
      </c>
      <c r="W6">
        <v>0.99999993927961039</v>
      </c>
      <c r="X6" s="12">
        <v>6.0720389605251057E-8</v>
      </c>
      <c r="Y6" s="1" t="s">
        <v>15</v>
      </c>
      <c r="Z6">
        <v>5</v>
      </c>
      <c r="AA6">
        <v>0</v>
      </c>
      <c r="AB6">
        <v>5</v>
      </c>
      <c r="AC6" s="7"/>
    </row>
    <row r="7" spans="1:29" x14ac:dyDescent="0.25">
      <c r="A7" t="s">
        <v>23</v>
      </c>
      <c r="B7" s="20">
        <v>0.1</v>
      </c>
      <c r="C7" s="1" t="s">
        <v>16</v>
      </c>
      <c r="D7">
        <v>0</v>
      </c>
      <c r="E7">
        <v>2</v>
      </c>
      <c r="F7">
        <v>2</v>
      </c>
      <c r="G7">
        <v>20</v>
      </c>
      <c r="H7">
        <v>0</v>
      </c>
      <c r="I7">
        <v>1</v>
      </c>
      <c r="J7">
        <v>1</v>
      </c>
      <c r="K7">
        <v>2</v>
      </c>
      <c r="L7" s="1">
        <v>28</v>
      </c>
      <c r="M7" s="10">
        <v>2</v>
      </c>
      <c r="N7">
        <v>11</v>
      </c>
      <c r="O7">
        <v>49</v>
      </c>
      <c r="P7" s="10">
        <v>2</v>
      </c>
      <c r="Q7">
        <v>24</v>
      </c>
      <c r="R7">
        <v>36</v>
      </c>
      <c r="S7" s="10">
        <v>2</v>
      </c>
      <c r="T7">
        <v>7.041666666666667</v>
      </c>
      <c r="U7">
        <v>4.6944444444444446</v>
      </c>
      <c r="Y7" s="1" t="s">
        <v>16</v>
      </c>
      <c r="Z7">
        <v>28</v>
      </c>
      <c r="AA7">
        <v>20</v>
      </c>
      <c r="AB7">
        <v>8</v>
      </c>
      <c r="AC7" s="7"/>
    </row>
    <row r="8" spans="1:29" x14ac:dyDescent="0.25">
      <c r="A8" t="s">
        <v>24</v>
      </c>
      <c r="B8" s="20">
        <v>0.1</v>
      </c>
      <c r="C8" s="1" t="s">
        <v>17</v>
      </c>
      <c r="D8">
        <v>1</v>
      </c>
      <c r="F8">
        <v>0</v>
      </c>
      <c r="G8">
        <v>0</v>
      </c>
      <c r="H8">
        <v>7</v>
      </c>
      <c r="I8">
        <v>2</v>
      </c>
      <c r="J8">
        <v>2</v>
      </c>
      <c r="K8">
        <v>1</v>
      </c>
      <c r="L8" s="1">
        <v>13</v>
      </c>
      <c r="M8" s="10" t="s">
        <v>40</v>
      </c>
      <c r="N8">
        <v>1</v>
      </c>
      <c r="O8">
        <v>2</v>
      </c>
      <c r="P8" s="10" t="s">
        <v>40</v>
      </c>
      <c r="S8" s="10" t="s">
        <v>40</v>
      </c>
      <c r="Y8" s="1" t="s">
        <v>17</v>
      </c>
      <c r="Z8">
        <v>13</v>
      </c>
      <c r="AA8">
        <v>7</v>
      </c>
      <c r="AB8">
        <v>6</v>
      </c>
      <c r="AC8" s="7"/>
    </row>
    <row r="9" spans="1:29" x14ac:dyDescent="0.25">
      <c r="C9" s="1" t="s">
        <v>18</v>
      </c>
      <c r="E9">
        <v>2</v>
      </c>
      <c r="F9">
        <v>0</v>
      </c>
      <c r="G9">
        <v>1</v>
      </c>
      <c r="H9">
        <v>2</v>
      </c>
      <c r="I9">
        <v>13</v>
      </c>
      <c r="J9">
        <v>0</v>
      </c>
      <c r="K9">
        <v>2</v>
      </c>
      <c r="L9" s="1">
        <v>20</v>
      </c>
      <c r="M9" s="10">
        <v>1</v>
      </c>
      <c r="N9">
        <v>31</v>
      </c>
      <c r="O9">
        <v>9</v>
      </c>
      <c r="P9" s="10">
        <v>1</v>
      </c>
      <c r="Q9">
        <v>16</v>
      </c>
      <c r="R9">
        <v>24</v>
      </c>
      <c r="S9" s="10">
        <v>1</v>
      </c>
      <c r="T9">
        <v>14.0625</v>
      </c>
      <c r="U9">
        <v>9.375</v>
      </c>
      <c r="V9" s="12">
        <v>39.0625</v>
      </c>
      <c r="W9">
        <v>0.99999999958954733</v>
      </c>
      <c r="X9" s="12">
        <v>4.1045267185069179E-10</v>
      </c>
      <c r="Y9" s="1" t="s">
        <v>18</v>
      </c>
      <c r="Z9">
        <v>20</v>
      </c>
      <c r="AA9">
        <v>13</v>
      </c>
      <c r="AB9">
        <v>7</v>
      </c>
      <c r="AC9" s="7"/>
    </row>
    <row r="10" spans="1:29" x14ac:dyDescent="0.25">
      <c r="A10" s="7"/>
      <c r="C10" s="1" t="s">
        <v>19</v>
      </c>
      <c r="D10">
        <v>1</v>
      </c>
      <c r="E10">
        <v>0</v>
      </c>
      <c r="F10">
        <v>2</v>
      </c>
      <c r="G10">
        <v>1</v>
      </c>
      <c r="H10">
        <v>1</v>
      </c>
      <c r="I10">
        <v>1</v>
      </c>
      <c r="J10">
        <v>13</v>
      </c>
      <c r="K10">
        <v>1</v>
      </c>
      <c r="L10" s="1">
        <v>20</v>
      </c>
      <c r="M10" s="10">
        <v>2</v>
      </c>
      <c r="N10">
        <v>9</v>
      </c>
      <c r="O10">
        <v>51</v>
      </c>
      <c r="P10" s="10">
        <v>2</v>
      </c>
      <c r="Q10">
        <v>24</v>
      </c>
      <c r="R10">
        <v>36</v>
      </c>
      <c r="S10" s="10">
        <v>2</v>
      </c>
      <c r="T10">
        <v>9.375</v>
      </c>
      <c r="U10">
        <v>6.25</v>
      </c>
      <c r="Y10" s="1" t="s">
        <v>19</v>
      </c>
      <c r="Z10">
        <v>20</v>
      </c>
      <c r="AA10">
        <v>13</v>
      </c>
      <c r="AB10">
        <v>7</v>
      </c>
      <c r="AC10" s="7"/>
    </row>
    <row r="11" spans="1:29" x14ac:dyDescent="0.25">
      <c r="A11" s="7">
        <v>0</v>
      </c>
      <c r="B11" s="6">
        <v>0</v>
      </c>
      <c r="C11" s="1" t="s">
        <v>20</v>
      </c>
      <c r="F11">
        <v>1</v>
      </c>
      <c r="G11">
        <v>2</v>
      </c>
      <c r="H11">
        <v>1</v>
      </c>
      <c r="I11">
        <v>1</v>
      </c>
      <c r="J11">
        <v>1</v>
      </c>
      <c r="K11">
        <v>1</v>
      </c>
      <c r="L11" s="1">
        <v>7</v>
      </c>
      <c r="M11" s="10" t="s">
        <v>41</v>
      </c>
      <c r="N11">
        <v>1</v>
      </c>
      <c r="O11">
        <v>2</v>
      </c>
      <c r="P11" s="10" t="s">
        <v>41</v>
      </c>
      <c r="S11" s="10" t="s">
        <v>41</v>
      </c>
      <c r="Y11" s="1" t="s">
        <v>20</v>
      </c>
      <c r="Z11">
        <v>7</v>
      </c>
      <c r="AA11">
        <v>1</v>
      </c>
      <c r="AB11">
        <v>6</v>
      </c>
      <c r="AC11" s="7"/>
    </row>
    <row r="12" spans="1:29" x14ac:dyDescent="0.25">
      <c r="A12" s="7"/>
      <c r="B12" s="6"/>
      <c r="C12" s="1"/>
      <c r="D12" s="1">
        <v>2</v>
      </c>
      <c r="E12" s="1">
        <v>5</v>
      </c>
      <c r="F12" s="1">
        <v>5</v>
      </c>
      <c r="G12" s="1">
        <v>28</v>
      </c>
      <c r="H12" s="1">
        <v>13</v>
      </c>
      <c r="I12" s="1">
        <v>20</v>
      </c>
      <c r="J12" s="1">
        <v>19</v>
      </c>
      <c r="K12" s="1">
        <v>8</v>
      </c>
      <c r="L12" s="1">
        <v>100</v>
      </c>
      <c r="M12" s="10">
        <v>1</v>
      </c>
      <c r="N12">
        <v>30</v>
      </c>
      <c r="O12">
        <v>10</v>
      </c>
      <c r="P12" s="10">
        <v>1</v>
      </c>
      <c r="Q12">
        <v>15.6</v>
      </c>
      <c r="R12">
        <v>24.4</v>
      </c>
      <c r="S12" s="10">
        <v>1</v>
      </c>
      <c r="T12">
        <v>13.292307692307693</v>
      </c>
      <c r="U12">
        <v>8.4983606557377041</v>
      </c>
      <c r="V12" s="12">
        <v>36.317780580075663</v>
      </c>
      <c r="W12">
        <v>0.99999999832372433</v>
      </c>
      <c r="X12" s="12">
        <v>1.6762756738231133E-9</v>
      </c>
      <c r="Y12" s="1" t="s">
        <v>46</v>
      </c>
      <c r="Z12" s="7">
        <v>100</v>
      </c>
      <c r="AA12" s="7">
        <v>55</v>
      </c>
      <c r="AB12" s="7">
        <v>45</v>
      </c>
      <c r="AC12" s="7"/>
    </row>
    <row r="13" spans="1:29" x14ac:dyDescent="0.25">
      <c r="A13" s="7"/>
      <c r="C13" s="1" t="s">
        <v>25</v>
      </c>
      <c r="D13" s="4">
        <v>0</v>
      </c>
      <c r="E13" s="4">
        <v>0</v>
      </c>
      <c r="F13" s="4">
        <v>0</v>
      </c>
      <c r="G13" s="4">
        <v>0</v>
      </c>
      <c r="H13" s="4">
        <v>0</v>
      </c>
      <c r="I13" s="4">
        <v>0</v>
      </c>
      <c r="J13" s="4">
        <v>0</v>
      </c>
      <c r="K13" s="4">
        <v>0</v>
      </c>
      <c r="M13" s="10">
        <v>2</v>
      </c>
      <c r="N13">
        <v>9</v>
      </c>
      <c r="O13">
        <v>51</v>
      </c>
      <c r="P13" s="10">
        <v>2</v>
      </c>
      <c r="Q13">
        <v>23.4</v>
      </c>
      <c r="R13">
        <v>36.6</v>
      </c>
      <c r="S13" s="10">
        <v>2</v>
      </c>
      <c r="T13">
        <v>8.8615384615384603</v>
      </c>
      <c r="U13">
        <v>5.6655737704918021</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0.72900000000000009</v>
      </c>
      <c r="C15" s="1" t="s">
        <v>13</v>
      </c>
      <c r="D15" s="4">
        <v>0</v>
      </c>
      <c r="E15" s="4">
        <v>0</v>
      </c>
      <c r="F15" s="4">
        <v>0</v>
      </c>
      <c r="G15" s="4">
        <v>0</v>
      </c>
      <c r="H15" s="4">
        <v>0</v>
      </c>
      <c r="I15" s="4">
        <v>0</v>
      </c>
      <c r="J15" s="4">
        <v>0</v>
      </c>
      <c r="K15" s="4">
        <v>0</v>
      </c>
      <c r="AC15" s="7"/>
    </row>
    <row r="16" spans="1:29" x14ac:dyDescent="0.25">
      <c r="A16" s="7"/>
      <c r="B16" s="4">
        <v>8.1000000000000016E-2</v>
      </c>
      <c r="C16" s="1" t="s">
        <v>14</v>
      </c>
      <c r="D16" s="4">
        <v>0</v>
      </c>
      <c r="E16" s="4">
        <v>0</v>
      </c>
      <c r="F16" s="4">
        <v>0</v>
      </c>
      <c r="G16" s="4">
        <v>0</v>
      </c>
      <c r="H16" s="4">
        <v>0</v>
      </c>
      <c r="I16" s="4">
        <v>0</v>
      </c>
      <c r="J16" s="4">
        <v>0</v>
      </c>
      <c r="K16" s="4">
        <v>0</v>
      </c>
      <c r="O16" s="8"/>
      <c r="AC16" s="7"/>
    </row>
    <row r="17" spans="1:29" x14ac:dyDescent="0.25">
      <c r="A17" s="7"/>
      <c r="B17" s="4">
        <v>8.1000000000000016E-2</v>
      </c>
      <c r="C17" s="1" t="s">
        <v>15</v>
      </c>
      <c r="D17" s="4">
        <v>0</v>
      </c>
      <c r="E17" s="4">
        <v>0</v>
      </c>
      <c r="F17" s="4">
        <v>0</v>
      </c>
      <c r="G17" s="4">
        <v>0</v>
      </c>
      <c r="H17" s="4">
        <v>0</v>
      </c>
      <c r="I17" s="4">
        <v>0</v>
      </c>
      <c r="J17" s="4">
        <v>0</v>
      </c>
      <c r="K17" s="4">
        <v>0</v>
      </c>
      <c r="AC17" s="7"/>
    </row>
    <row r="18" spans="1:29" x14ac:dyDescent="0.25">
      <c r="A18" s="7"/>
      <c r="B18" s="4">
        <v>9.0000000000000011E-3</v>
      </c>
      <c r="C18" s="1" t="s">
        <v>16</v>
      </c>
      <c r="D18" s="4">
        <v>0</v>
      </c>
      <c r="E18" s="4">
        <v>0</v>
      </c>
      <c r="F18" s="4">
        <v>0</v>
      </c>
      <c r="G18" s="4">
        <v>0</v>
      </c>
      <c r="H18" s="4">
        <v>0</v>
      </c>
      <c r="I18" s="4">
        <v>0</v>
      </c>
      <c r="J18" s="4">
        <v>0</v>
      </c>
      <c r="K18" s="4">
        <v>0</v>
      </c>
      <c r="AC18" s="7"/>
    </row>
    <row r="19" spans="1:29" x14ac:dyDescent="0.25">
      <c r="A19" s="7"/>
      <c r="B19" s="4">
        <v>8.1000000000000016E-2</v>
      </c>
      <c r="C19" s="1" t="s">
        <v>17</v>
      </c>
      <c r="D19" s="4">
        <v>0</v>
      </c>
      <c r="E19" s="4">
        <v>0</v>
      </c>
      <c r="F19" s="4">
        <v>0</v>
      </c>
      <c r="G19" s="4">
        <v>0</v>
      </c>
      <c r="H19" s="4">
        <v>0</v>
      </c>
      <c r="I19" s="4">
        <v>0</v>
      </c>
      <c r="J19" s="4">
        <v>0</v>
      </c>
      <c r="K19" s="4">
        <v>0</v>
      </c>
      <c r="AC19" s="7"/>
    </row>
    <row r="20" spans="1:29" x14ac:dyDescent="0.25">
      <c r="A20" s="7"/>
      <c r="B20" s="4">
        <v>9.0000000000000011E-3</v>
      </c>
      <c r="C20" s="1" t="s">
        <v>18</v>
      </c>
      <c r="D20" s="4">
        <v>0</v>
      </c>
      <c r="E20" s="4">
        <v>0</v>
      </c>
      <c r="F20" s="4">
        <v>0</v>
      </c>
      <c r="G20" s="4">
        <v>0</v>
      </c>
      <c r="H20" s="4">
        <v>0</v>
      </c>
      <c r="I20" s="4">
        <v>0</v>
      </c>
      <c r="J20" s="4">
        <v>0</v>
      </c>
      <c r="K20" s="4">
        <v>0</v>
      </c>
      <c r="AC20" s="7"/>
    </row>
    <row r="21" spans="1:29" x14ac:dyDescent="0.25">
      <c r="A21" s="7"/>
      <c r="B21" s="4">
        <v>9.0000000000000028E-3</v>
      </c>
      <c r="C21" s="1" t="s">
        <v>19</v>
      </c>
      <c r="D21" s="4">
        <v>0</v>
      </c>
      <c r="E21" s="4">
        <v>0</v>
      </c>
      <c r="F21" s="4">
        <v>0</v>
      </c>
      <c r="G21" s="4">
        <v>0</v>
      </c>
      <c r="H21" s="4">
        <v>0</v>
      </c>
      <c r="I21" s="4">
        <v>0</v>
      </c>
      <c r="J21" s="4">
        <v>0</v>
      </c>
      <c r="K21" s="4">
        <v>0</v>
      </c>
      <c r="M21" t="s">
        <v>62</v>
      </c>
      <c r="AC21" s="7"/>
    </row>
    <row r="22" spans="1:29" x14ac:dyDescent="0.25">
      <c r="A22" s="7"/>
      <c r="B22" s="4">
        <v>1.0000000000000002E-3</v>
      </c>
      <c r="C22" s="1" t="s">
        <v>20</v>
      </c>
      <c r="D22" s="4">
        <v>0</v>
      </c>
      <c r="E22" s="4">
        <v>0</v>
      </c>
      <c r="F22" s="4">
        <v>0</v>
      </c>
      <c r="G22" s="4">
        <v>0</v>
      </c>
      <c r="H22" s="4">
        <v>0</v>
      </c>
      <c r="I22" s="4">
        <v>0</v>
      </c>
      <c r="J22" s="4">
        <v>0</v>
      </c>
      <c r="K22" s="4">
        <v>0</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6.2400000000000011E-2</v>
      </c>
      <c r="P24">
        <v>9.760000000000002E-2</v>
      </c>
      <c r="Q24">
        <v>9.3600000000000003E-2</v>
      </c>
      <c r="R24">
        <v>0.1464</v>
      </c>
      <c r="S24">
        <v>9.3600000000000003E-2</v>
      </c>
      <c r="T24">
        <v>0.1464</v>
      </c>
      <c r="U24">
        <v>0.1404</v>
      </c>
      <c r="V24">
        <v>0.21959999999999999</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8.1000000000000016E-2</v>
      </c>
      <c r="C26" s="1" t="s">
        <v>13</v>
      </c>
      <c r="D26" s="4">
        <v>0</v>
      </c>
      <c r="E26" s="4">
        <v>0</v>
      </c>
      <c r="F26" s="4">
        <v>0</v>
      </c>
      <c r="G26" s="4">
        <v>0</v>
      </c>
      <c r="H26" s="4">
        <v>0</v>
      </c>
      <c r="I26" s="4">
        <v>0</v>
      </c>
      <c r="J26" s="4">
        <v>0</v>
      </c>
      <c r="K26" s="4">
        <v>0</v>
      </c>
      <c r="M26" s="4">
        <v>6.4000000000000015E-2</v>
      </c>
      <c r="N26" s="1" t="s">
        <v>13</v>
      </c>
      <c r="O26">
        <v>3.9936000000000017E-3</v>
      </c>
      <c r="P26">
        <v>6.2464000000000026E-3</v>
      </c>
      <c r="Q26">
        <v>5.9904000000000016E-3</v>
      </c>
      <c r="R26">
        <v>9.3696000000000022E-3</v>
      </c>
      <c r="S26">
        <v>5.9904000000000016E-3</v>
      </c>
      <c r="T26">
        <v>9.3696000000000022E-3</v>
      </c>
      <c r="U26">
        <v>8.9856000000000016E-3</v>
      </c>
      <c r="V26">
        <v>1.4054400000000003E-2</v>
      </c>
      <c r="AC26" s="7"/>
    </row>
    <row r="27" spans="1:29" x14ac:dyDescent="0.25">
      <c r="A27" s="7"/>
      <c r="B27" s="4">
        <v>0.72900000000000009</v>
      </c>
      <c r="C27" s="1" t="s">
        <v>14</v>
      </c>
      <c r="D27" s="4">
        <v>0</v>
      </c>
      <c r="E27" s="4">
        <v>0</v>
      </c>
      <c r="F27" s="4">
        <v>0</v>
      </c>
      <c r="G27" s="4">
        <v>0</v>
      </c>
      <c r="H27" s="4">
        <v>0</v>
      </c>
      <c r="I27" s="4">
        <v>0</v>
      </c>
      <c r="J27" s="4">
        <v>0</v>
      </c>
      <c r="K27" s="4">
        <v>0</v>
      </c>
      <c r="M27" s="4">
        <v>9.6000000000000016E-2</v>
      </c>
      <c r="N27" s="1" t="s">
        <v>14</v>
      </c>
      <c r="O27">
        <v>5.9904000000000016E-3</v>
      </c>
      <c r="P27">
        <v>9.369600000000004E-3</v>
      </c>
      <c r="Q27">
        <v>8.9856000000000016E-3</v>
      </c>
      <c r="R27">
        <v>1.4054400000000003E-2</v>
      </c>
      <c r="S27">
        <v>8.9856000000000016E-3</v>
      </c>
      <c r="T27">
        <v>1.4054400000000003E-2</v>
      </c>
      <c r="U27">
        <v>1.3478400000000001E-2</v>
      </c>
      <c r="V27">
        <v>2.1081600000000002E-2</v>
      </c>
      <c r="AC27" s="7"/>
    </row>
    <row r="28" spans="1:29" x14ac:dyDescent="0.25">
      <c r="A28" s="7"/>
      <c r="B28" s="4">
        <v>9.0000000000000011E-3</v>
      </c>
      <c r="C28" s="1" t="s">
        <v>15</v>
      </c>
      <c r="D28" s="4">
        <v>0</v>
      </c>
      <c r="E28" s="4">
        <v>0</v>
      </c>
      <c r="F28" s="4">
        <v>0</v>
      </c>
      <c r="G28" s="4">
        <v>0</v>
      </c>
      <c r="H28" s="4">
        <v>0</v>
      </c>
      <c r="I28" s="4">
        <v>0</v>
      </c>
      <c r="J28" s="4">
        <v>0</v>
      </c>
      <c r="K28" s="4">
        <v>0</v>
      </c>
      <c r="M28" s="4">
        <v>9.6000000000000002E-2</v>
      </c>
      <c r="N28" s="1" t="s">
        <v>15</v>
      </c>
      <c r="O28">
        <v>5.9904000000000008E-3</v>
      </c>
      <c r="P28">
        <v>9.3696000000000022E-3</v>
      </c>
      <c r="Q28">
        <v>8.9855999999999998E-3</v>
      </c>
      <c r="R28">
        <v>1.40544E-2</v>
      </c>
      <c r="S28">
        <v>8.9855999999999998E-3</v>
      </c>
      <c r="T28">
        <v>1.40544E-2</v>
      </c>
      <c r="U28">
        <v>1.34784E-2</v>
      </c>
      <c r="V28">
        <v>2.1081599999999999E-2</v>
      </c>
      <c r="AC28" s="7"/>
    </row>
    <row r="29" spans="1:29" x14ac:dyDescent="0.25">
      <c r="A29" s="7"/>
      <c r="B29" s="4">
        <v>8.1000000000000016E-2</v>
      </c>
      <c r="C29" s="1" t="s">
        <v>16</v>
      </c>
      <c r="D29" s="4">
        <v>0</v>
      </c>
      <c r="E29" s="4">
        <v>0</v>
      </c>
      <c r="F29" s="4">
        <v>0</v>
      </c>
      <c r="G29" s="4">
        <v>0</v>
      </c>
      <c r="H29" s="4">
        <v>0</v>
      </c>
      <c r="I29" s="4">
        <v>0</v>
      </c>
      <c r="J29" s="4">
        <v>0</v>
      </c>
      <c r="K29" s="4">
        <v>0</v>
      </c>
      <c r="M29" s="4">
        <v>0.14399999999999999</v>
      </c>
      <c r="N29" s="1" t="s">
        <v>16</v>
      </c>
      <c r="O29">
        <v>8.9856000000000016E-3</v>
      </c>
      <c r="P29">
        <v>1.4054400000000002E-2</v>
      </c>
      <c r="Q29">
        <v>1.34784E-2</v>
      </c>
      <c r="R29">
        <v>2.1081599999999999E-2</v>
      </c>
      <c r="S29">
        <v>1.34784E-2</v>
      </c>
      <c r="T29">
        <v>2.1081599999999999E-2</v>
      </c>
      <c r="U29">
        <v>2.0217599999999999E-2</v>
      </c>
      <c r="V29">
        <v>3.1622399999999995E-2</v>
      </c>
      <c r="AC29" s="7"/>
    </row>
    <row r="30" spans="1:29" x14ac:dyDescent="0.25">
      <c r="A30" s="7"/>
      <c r="B30" s="4">
        <v>9.0000000000000011E-3</v>
      </c>
      <c r="C30" s="1" t="s">
        <v>17</v>
      </c>
      <c r="D30" s="4">
        <v>0</v>
      </c>
      <c r="E30" s="4">
        <v>0</v>
      </c>
      <c r="F30" s="4">
        <v>0</v>
      </c>
      <c r="G30" s="4">
        <v>0</v>
      </c>
      <c r="H30" s="4">
        <v>0</v>
      </c>
      <c r="I30" s="4">
        <v>0</v>
      </c>
      <c r="J30" s="4">
        <v>0</v>
      </c>
      <c r="K30" s="4">
        <v>0</v>
      </c>
      <c r="M30" s="4">
        <v>9.6000000000000002E-2</v>
      </c>
      <c r="N30" s="1" t="s">
        <v>17</v>
      </c>
      <c r="O30">
        <v>5.9904000000000008E-3</v>
      </c>
      <c r="P30">
        <v>9.3696000000000022E-3</v>
      </c>
      <c r="Q30">
        <v>8.9855999999999998E-3</v>
      </c>
      <c r="R30">
        <v>1.40544E-2</v>
      </c>
      <c r="S30">
        <v>8.9855999999999998E-3</v>
      </c>
      <c r="T30">
        <v>1.40544E-2</v>
      </c>
      <c r="U30">
        <v>1.34784E-2</v>
      </c>
      <c r="V30">
        <v>2.1081599999999999E-2</v>
      </c>
      <c r="AC30" s="7"/>
    </row>
    <row r="31" spans="1:29" x14ac:dyDescent="0.25">
      <c r="A31" s="7"/>
      <c r="B31" s="4">
        <v>8.1000000000000016E-2</v>
      </c>
      <c r="C31" s="1" t="s">
        <v>18</v>
      </c>
      <c r="D31" s="4">
        <v>0</v>
      </c>
      <c r="E31" s="4">
        <v>0</v>
      </c>
      <c r="F31" s="4">
        <v>0</v>
      </c>
      <c r="G31" s="4">
        <v>0</v>
      </c>
      <c r="H31" s="4">
        <v>0</v>
      </c>
      <c r="I31" s="4">
        <v>0</v>
      </c>
      <c r="J31" s="4">
        <v>0</v>
      </c>
      <c r="K31" s="4">
        <v>0</v>
      </c>
      <c r="M31" s="4">
        <v>0.14399999999999999</v>
      </c>
      <c r="N31" s="1" t="s">
        <v>18</v>
      </c>
      <c r="O31">
        <v>8.9856000000000016E-3</v>
      </c>
      <c r="P31">
        <v>1.4054400000000002E-2</v>
      </c>
      <c r="Q31">
        <v>1.34784E-2</v>
      </c>
      <c r="R31">
        <v>2.1081599999999999E-2</v>
      </c>
      <c r="S31">
        <v>1.34784E-2</v>
      </c>
      <c r="T31">
        <v>2.1081599999999999E-2</v>
      </c>
      <c r="U31">
        <v>2.0217599999999999E-2</v>
      </c>
      <c r="V31">
        <v>3.1622399999999995E-2</v>
      </c>
      <c r="AC31" s="7"/>
    </row>
    <row r="32" spans="1:29" x14ac:dyDescent="0.25">
      <c r="A32" s="7"/>
      <c r="B32" s="4">
        <v>1.0000000000000002E-3</v>
      </c>
      <c r="C32" s="1" t="s">
        <v>19</v>
      </c>
      <c r="D32" s="4">
        <v>0</v>
      </c>
      <c r="E32" s="4">
        <v>0</v>
      </c>
      <c r="F32" s="4">
        <v>0</v>
      </c>
      <c r="G32" s="4">
        <v>0</v>
      </c>
      <c r="H32" s="4">
        <v>0</v>
      </c>
      <c r="I32" s="4">
        <v>0</v>
      </c>
      <c r="J32" s="4">
        <v>0</v>
      </c>
      <c r="K32" s="4">
        <v>0</v>
      </c>
      <c r="M32" s="4">
        <v>0.14399999999999999</v>
      </c>
      <c r="N32" s="1" t="s">
        <v>19</v>
      </c>
      <c r="O32">
        <v>8.9856000000000016E-3</v>
      </c>
      <c r="P32">
        <v>1.4054400000000002E-2</v>
      </c>
      <c r="Q32">
        <v>1.34784E-2</v>
      </c>
      <c r="R32">
        <v>2.1081599999999999E-2</v>
      </c>
      <c r="S32">
        <v>1.34784E-2</v>
      </c>
      <c r="T32">
        <v>2.1081599999999999E-2</v>
      </c>
      <c r="U32">
        <v>2.0217599999999999E-2</v>
      </c>
      <c r="V32">
        <v>3.1622399999999995E-2</v>
      </c>
      <c r="AC32" s="7"/>
    </row>
    <row r="33" spans="1:29" x14ac:dyDescent="0.25">
      <c r="A33" s="7"/>
      <c r="B33" s="4">
        <v>9.0000000000000028E-3</v>
      </c>
      <c r="C33" s="1" t="s">
        <v>20</v>
      </c>
      <c r="D33" s="4">
        <v>0</v>
      </c>
      <c r="E33" s="4">
        <v>0</v>
      </c>
      <c r="F33" s="4">
        <v>0</v>
      </c>
      <c r="G33" s="4">
        <v>0</v>
      </c>
      <c r="H33" s="4">
        <v>0</v>
      </c>
      <c r="I33" s="4">
        <v>0</v>
      </c>
      <c r="J33" s="4">
        <v>0</v>
      </c>
      <c r="K33" s="4">
        <v>0</v>
      </c>
      <c r="M33" s="4">
        <v>0.216</v>
      </c>
      <c r="N33" s="1" t="s">
        <v>20</v>
      </c>
      <c r="O33">
        <v>1.3478400000000001E-2</v>
      </c>
      <c r="P33">
        <v>2.1081600000000002E-2</v>
      </c>
      <c r="Q33">
        <v>2.0217599999999999E-2</v>
      </c>
      <c r="R33">
        <v>3.1622400000000002E-2</v>
      </c>
      <c r="S33">
        <v>2.0217599999999999E-2</v>
      </c>
      <c r="T33">
        <v>3.1622400000000002E-2</v>
      </c>
      <c r="U33">
        <v>3.03264E-2</v>
      </c>
      <c r="V33">
        <v>4.7433599999999999E-2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8.1000000000000016E-2</v>
      </c>
      <c r="C37" s="1" t="s">
        <v>13</v>
      </c>
      <c r="D37" s="4">
        <v>0</v>
      </c>
      <c r="E37" s="4">
        <v>0</v>
      </c>
      <c r="F37" s="4">
        <v>0</v>
      </c>
      <c r="G37" s="4">
        <v>0</v>
      </c>
      <c r="H37" s="4">
        <v>0</v>
      </c>
      <c r="I37" s="4">
        <v>0</v>
      </c>
      <c r="J37" s="4">
        <v>0</v>
      </c>
      <c r="K37" s="4">
        <v>0</v>
      </c>
      <c r="N37" s="1" t="s">
        <v>13</v>
      </c>
      <c r="O37" s="5">
        <v>0.39936000000000016</v>
      </c>
      <c r="P37" s="5">
        <v>0.62464000000000031</v>
      </c>
      <c r="Q37" s="5">
        <v>0.59904000000000013</v>
      </c>
      <c r="R37" s="5">
        <v>0.93696000000000024</v>
      </c>
      <c r="S37" s="5">
        <v>0.59904000000000013</v>
      </c>
      <c r="T37" s="5">
        <v>0.93696000000000024</v>
      </c>
      <c r="U37" s="5">
        <v>0.89856000000000014</v>
      </c>
      <c r="V37" s="5">
        <v>1.4054400000000002</v>
      </c>
      <c r="X37">
        <v>6.4000000000000012</v>
      </c>
      <c r="Y37">
        <v>0.39936000000000016</v>
      </c>
      <c r="Z37">
        <v>6.0006400000000006</v>
      </c>
      <c r="AA37">
        <v>0.39936000000000016</v>
      </c>
      <c r="AB37">
        <v>2.6672355631399318</v>
      </c>
      <c r="AC37" s="7"/>
    </row>
    <row r="38" spans="1:29" x14ac:dyDescent="0.25">
      <c r="A38" s="7"/>
      <c r="B38" s="4">
        <v>9.0000000000000011E-3</v>
      </c>
      <c r="C38" s="1" t="s">
        <v>14</v>
      </c>
      <c r="D38" s="4">
        <v>0</v>
      </c>
      <c r="E38" s="4">
        <v>0</v>
      </c>
      <c r="F38" s="4">
        <v>0</v>
      </c>
      <c r="G38" s="4">
        <v>0</v>
      </c>
      <c r="H38" s="4">
        <v>0</v>
      </c>
      <c r="I38" s="4">
        <v>0</v>
      </c>
      <c r="J38" s="4">
        <v>0</v>
      </c>
      <c r="K38" s="4">
        <v>0</v>
      </c>
      <c r="N38" s="1" t="s">
        <v>14</v>
      </c>
      <c r="O38" s="5">
        <v>0.59904000000000013</v>
      </c>
      <c r="P38" s="5">
        <v>0.93696000000000035</v>
      </c>
      <c r="Q38" s="5">
        <v>0.89856000000000014</v>
      </c>
      <c r="R38" s="5">
        <v>1.4054400000000002</v>
      </c>
      <c r="S38" s="5">
        <v>0.89856000000000014</v>
      </c>
      <c r="T38" s="5">
        <v>1.4054400000000002</v>
      </c>
      <c r="U38" s="5">
        <v>1.3478400000000001</v>
      </c>
      <c r="V38" s="5">
        <v>2.1081600000000003</v>
      </c>
      <c r="X38">
        <v>9.6000000000000014</v>
      </c>
      <c r="Y38">
        <v>0.93696000000000035</v>
      </c>
      <c r="Z38">
        <v>8.6630400000000005</v>
      </c>
      <c r="AA38">
        <v>4.2414207650272743E-3</v>
      </c>
      <c r="AB38">
        <v>2.5099667139479909</v>
      </c>
      <c r="AC38" s="7"/>
    </row>
    <row r="39" spans="1:29" x14ac:dyDescent="0.25">
      <c r="A39" s="7"/>
      <c r="B39" s="4">
        <v>0.72900000000000009</v>
      </c>
      <c r="C39" s="1" t="s">
        <v>15</v>
      </c>
      <c r="D39" s="4">
        <v>0</v>
      </c>
      <c r="E39" s="4">
        <v>0</v>
      </c>
      <c r="F39" s="4">
        <v>0</v>
      </c>
      <c r="G39" s="4">
        <v>0</v>
      </c>
      <c r="H39" s="4">
        <v>0</v>
      </c>
      <c r="I39" s="4">
        <v>0</v>
      </c>
      <c r="J39" s="4">
        <v>0</v>
      </c>
      <c r="K39" s="4">
        <v>0</v>
      </c>
      <c r="N39" s="1" t="s">
        <v>15</v>
      </c>
      <c r="O39" s="5">
        <v>0.59904000000000013</v>
      </c>
      <c r="P39" s="5">
        <v>0.93696000000000024</v>
      </c>
      <c r="Q39" s="5">
        <v>0.89856000000000003</v>
      </c>
      <c r="R39" s="5">
        <v>1.40544</v>
      </c>
      <c r="S39" s="5">
        <v>0.89856000000000003</v>
      </c>
      <c r="T39" s="5">
        <v>1.40544</v>
      </c>
      <c r="U39" s="5">
        <v>1.3478399999999999</v>
      </c>
      <c r="V39" s="5">
        <v>2.1081599999999998</v>
      </c>
      <c r="X39">
        <v>9.6</v>
      </c>
      <c r="Y39">
        <v>0.89856000000000003</v>
      </c>
      <c r="Z39">
        <v>8.7014399999999998</v>
      </c>
      <c r="AA39">
        <v>0.89856000000000003</v>
      </c>
      <c r="AB39">
        <v>1.5745276728449544</v>
      </c>
      <c r="AC39" s="7"/>
    </row>
    <row r="40" spans="1:29" x14ac:dyDescent="0.25">
      <c r="A40" s="7"/>
      <c r="B40" s="4">
        <v>8.1000000000000016E-2</v>
      </c>
      <c r="C40" s="1" t="s">
        <v>16</v>
      </c>
      <c r="D40" s="4">
        <v>0</v>
      </c>
      <c r="E40" s="4">
        <v>0</v>
      </c>
      <c r="F40" s="4">
        <v>0</v>
      </c>
      <c r="G40" s="4">
        <v>0</v>
      </c>
      <c r="H40" s="4">
        <v>0</v>
      </c>
      <c r="I40" s="4">
        <v>0</v>
      </c>
      <c r="J40" s="4">
        <v>0</v>
      </c>
      <c r="K40" s="4">
        <v>0</v>
      </c>
      <c r="N40" s="1" t="s">
        <v>16</v>
      </c>
      <c r="O40" s="5">
        <v>0.89856000000000014</v>
      </c>
      <c r="P40" s="5">
        <v>1.4054400000000002</v>
      </c>
      <c r="Q40" s="5">
        <v>1.3478399999999999</v>
      </c>
      <c r="R40" s="5">
        <v>2.1081599999999998</v>
      </c>
      <c r="S40" s="5">
        <v>1.3478399999999999</v>
      </c>
      <c r="T40" s="5">
        <v>2.1081599999999998</v>
      </c>
      <c r="U40" s="5">
        <v>2.02176</v>
      </c>
      <c r="V40" s="5">
        <v>3.1622399999999997</v>
      </c>
      <c r="X40">
        <v>14.399999999999999</v>
      </c>
      <c r="Y40">
        <v>2.1081599999999998</v>
      </c>
      <c r="Z40">
        <v>12.291839999999999</v>
      </c>
      <c r="AA40">
        <v>151.84707924711603</v>
      </c>
      <c r="AB40">
        <v>1.4985462376340721</v>
      </c>
      <c r="AC40" s="7"/>
    </row>
    <row r="41" spans="1:29" x14ac:dyDescent="0.25">
      <c r="A41" s="7"/>
      <c r="B41" s="4">
        <v>9.0000000000000028E-3</v>
      </c>
      <c r="C41" s="1" t="s">
        <v>17</v>
      </c>
      <c r="D41" s="4">
        <v>0</v>
      </c>
      <c r="E41" s="4">
        <v>0</v>
      </c>
      <c r="F41" s="4">
        <v>0</v>
      </c>
      <c r="G41" s="4">
        <v>0</v>
      </c>
      <c r="H41" s="4">
        <v>0</v>
      </c>
      <c r="I41" s="4">
        <v>0</v>
      </c>
      <c r="J41" s="4">
        <v>0</v>
      </c>
      <c r="K41" s="4">
        <v>0</v>
      </c>
      <c r="N41" s="1" t="s">
        <v>17</v>
      </c>
      <c r="O41" s="5">
        <v>0.59904000000000013</v>
      </c>
      <c r="P41" s="5">
        <v>0.93696000000000024</v>
      </c>
      <c r="Q41" s="5">
        <v>0.89856000000000003</v>
      </c>
      <c r="R41" s="5">
        <v>1.40544</v>
      </c>
      <c r="S41" s="5">
        <v>0.89856000000000003</v>
      </c>
      <c r="T41" s="5">
        <v>1.40544</v>
      </c>
      <c r="U41" s="5">
        <v>1.3478399999999999</v>
      </c>
      <c r="V41" s="5">
        <v>2.1081599999999998</v>
      </c>
      <c r="X41">
        <v>9.6</v>
      </c>
      <c r="Y41">
        <v>0.89856000000000003</v>
      </c>
      <c r="Z41">
        <v>8.7014399999999998</v>
      </c>
      <c r="AA41">
        <v>41.430255156695154</v>
      </c>
      <c r="AB41">
        <v>0.83868624889673427</v>
      </c>
      <c r="AC41" s="7"/>
    </row>
    <row r="42" spans="1:29" x14ac:dyDescent="0.25">
      <c r="A42" s="7"/>
      <c r="B42" s="4">
        <v>1.0000000000000002E-3</v>
      </c>
      <c r="C42" s="1" t="s">
        <v>18</v>
      </c>
      <c r="D42" s="4">
        <v>0</v>
      </c>
      <c r="E42" s="4">
        <v>0</v>
      </c>
      <c r="F42" s="4">
        <v>0</v>
      </c>
      <c r="G42" s="4">
        <v>0</v>
      </c>
      <c r="H42" s="4">
        <v>0</v>
      </c>
      <c r="I42" s="4">
        <v>0</v>
      </c>
      <c r="J42" s="4">
        <v>0</v>
      </c>
      <c r="K42" s="4">
        <v>0</v>
      </c>
      <c r="N42" s="1" t="s">
        <v>18</v>
      </c>
      <c r="O42" s="5">
        <v>0.89856000000000014</v>
      </c>
      <c r="P42" s="5">
        <v>1.4054400000000002</v>
      </c>
      <c r="Q42" s="5">
        <v>1.3478399999999999</v>
      </c>
      <c r="R42" s="5">
        <v>2.1081599999999998</v>
      </c>
      <c r="S42" s="5">
        <v>1.3478399999999999</v>
      </c>
      <c r="T42" s="5">
        <v>2.1081599999999998</v>
      </c>
      <c r="U42" s="5">
        <v>2.02176</v>
      </c>
      <c r="V42" s="5">
        <v>3.1622399999999997</v>
      </c>
      <c r="X42">
        <v>14.399999999999999</v>
      </c>
      <c r="Y42">
        <v>2.1081599999999998</v>
      </c>
      <c r="Z42">
        <v>12.291839999999999</v>
      </c>
      <c r="AA42">
        <v>56.272853381906501</v>
      </c>
      <c r="AB42">
        <v>2.278224463188586</v>
      </c>
      <c r="AC42" s="7"/>
    </row>
    <row r="43" spans="1:29" x14ac:dyDescent="0.25">
      <c r="A43" s="7"/>
      <c r="B43" s="4">
        <v>8.1000000000000016E-2</v>
      </c>
      <c r="C43" s="1" t="s">
        <v>19</v>
      </c>
      <c r="D43" s="4">
        <v>0</v>
      </c>
      <c r="E43" s="4">
        <v>0</v>
      </c>
      <c r="F43" s="4">
        <v>0</v>
      </c>
      <c r="G43" s="4">
        <v>0</v>
      </c>
      <c r="H43" s="4">
        <v>0</v>
      </c>
      <c r="I43" s="4">
        <v>0</v>
      </c>
      <c r="J43" s="4">
        <v>0</v>
      </c>
      <c r="K43" s="4">
        <v>0</v>
      </c>
      <c r="N43" s="1" t="s">
        <v>19</v>
      </c>
      <c r="O43" s="5">
        <v>0.89856000000000014</v>
      </c>
      <c r="P43" s="5">
        <v>1.4054400000000002</v>
      </c>
      <c r="Q43" s="5">
        <v>1.3478399999999999</v>
      </c>
      <c r="R43" s="5">
        <v>2.1081599999999998</v>
      </c>
      <c r="S43" s="5">
        <v>1.3478399999999999</v>
      </c>
      <c r="T43" s="5">
        <v>2.1081599999999998</v>
      </c>
      <c r="U43" s="5">
        <v>2.02176</v>
      </c>
      <c r="V43" s="5">
        <v>3.1622399999999997</v>
      </c>
      <c r="X43">
        <v>14.399999999999999</v>
      </c>
      <c r="Y43">
        <v>2.02176</v>
      </c>
      <c r="Z43">
        <v>12.378239999999998</v>
      </c>
      <c r="AA43">
        <v>59.612294979423865</v>
      </c>
      <c r="AB43">
        <v>2.3367995367354313</v>
      </c>
      <c r="AC43" s="7"/>
    </row>
    <row r="44" spans="1:29" x14ac:dyDescent="0.25">
      <c r="A44" s="7"/>
      <c r="B44" s="4">
        <v>9.0000000000000011E-3</v>
      </c>
      <c r="C44" s="1" t="s">
        <v>20</v>
      </c>
      <c r="D44" s="4">
        <v>0</v>
      </c>
      <c r="E44" s="4">
        <v>0</v>
      </c>
      <c r="F44" s="4">
        <v>0</v>
      </c>
      <c r="G44" s="4">
        <v>0</v>
      </c>
      <c r="H44" s="4">
        <v>0</v>
      </c>
      <c r="I44" s="4">
        <v>0</v>
      </c>
      <c r="J44" s="4">
        <v>0</v>
      </c>
      <c r="K44" s="4">
        <v>0</v>
      </c>
      <c r="N44" s="1" t="s">
        <v>20</v>
      </c>
      <c r="O44" s="5">
        <v>1.3478400000000001</v>
      </c>
      <c r="P44" s="5">
        <v>2.1081600000000003</v>
      </c>
      <c r="Q44" s="5">
        <v>2.02176</v>
      </c>
      <c r="R44" s="5">
        <v>3.1622400000000002</v>
      </c>
      <c r="S44" s="5">
        <v>2.02176</v>
      </c>
      <c r="T44" s="5">
        <v>3.1622400000000002</v>
      </c>
      <c r="U44" s="5">
        <v>3.0326399999999998</v>
      </c>
      <c r="V44" s="5">
        <v>4.74336</v>
      </c>
      <c r="X44">
        <v>21.6</v>
      </c>
      <c r="Y44">
        <v>4.74336</v>
      </c>
      <c r="Z44">
        <v>16.856640000000002</v>
      </c>
      <c r="AA44">
        <v>2.9541810213856845</v>
      </c>
      <c r="AB44">
        <v>6.9922969280710765</v>
      </c>
      <c r="AC44" s="7"/>
    </row>
    <row r="45" spans="1:29" x14ac:dyDescent="0.25">
      <c r="A45" s="7"/>
      <c r="X45" s="9">
        <v>100</v>
      </c>
      <c r="Y45" s="9">
        <v>14.114879999999999</v>
      </c>
      <c r="Z45" s="9">
        <v>85.885120000000001</v>
      </c>
      <c r="AA45" s="9">
        <v>313.41882520729223</v>
      </c>
      <c r="AB45" s="9">
        <v>20.696283364458779</v>
      </c>
      <c r="AC45" s="7"/>
    </row>
    <row r="46" spans="1:29" x14ac:dyDescent="0.25">
      <c r="A46" s="7"/>
      <c r="C46" s="1" t="s">
        <v>28</v>
      </c>
      <c r="D46" s="4">
        <v>3.2283037553648541E-3</v>
      </c>
      <c r="E46" s="4">
        <v>2.9054733798283685E-2</v>
      </c>
      <c r="F46" s="4">
        <v>2.9054733798283685E-2</v>
      </c>
      <c r="G46" s="4">
        <v>0.26149260418455317</v>
      </c>
      <c r="H46" s="4">
        <v>3.587004172627615E-4</v>
      </c>
      <c r="I46" s="4">
        <v>3.2283037553648536E-3</v>
      </c>
      <c r="J46" s="4">
        <v>3.2283037553648541E-3</v>
      </c>
      <c r="K46" s="4">
        <v>2.9054733798283685E-2</v>
      </c>
      <c r="P46" t="s">
        <v>70</v>
      </c>
      <c r="AB46" s="22">
        <v>334.11510857175102</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9.0000000000000011E-3</v>
      </c>
      <c r="C48" s="1" t="s">
        <v>13</v>
      </c>
      <c r="D48" s="4">
        <v>2.9054733798283689E-5</v>
      </c>
      <c r="E48" s="4">
        <v>2.6149260418455319E-4</v>
      </c>
      <c r="F48" s="4">
        <v>2.6149260418455319E-4</v>
      </c>
      <c r="G48" s="4">
        <v>2.3534334376609789E-3</v>
      </c>
      <c r="H48" s="4">
        <v>3.2283037553648538E-6</v>
      </c>
      <c r="I48" s="4">
        <v>2.9054733798283686E-5</v>
      </c>
      <c r="J48" s="4">
        <v>2.9054733798283689E-5</v>
      </c>
      <c r="K48" s="4">
        <v>2.6149260418455319E-4</v>
      </c>
      <c r="N48" s="1" t="s">
        <v>13</v>
      </c>
      <c r="O48">
        <v>0.39936000000000016</v>
      </c>
      <c r="P48">
        <v>0.62464000000000031</v>
      </c>
      <c r="Q48">
        <v>0.59904000000000013</v>
      </c>
      <c r="R48">
        <v>0.93696000000000024</v>
      </c>
      <c r="S48">
        <v>0.26837760683760659</v>
      </c>
      <c r="T48">
        <v>4.241420765027289E-3</v>
      </c>
      <c r="U48">
        <v>0.89856000000000014</v>
      </c>
      <c r="V48">
        <v>1.4054400000000002</v>
      </c>
      <c r="W48" s="7">
        <v>5.1366190276026344</v>
      </c>
      <c r="Z48" t="s">
        <v>67</v>
      </c>
      <c r="AC48" s="7"/>
    </row>
    <row r="49" spans="1:29" x14ac:dyDescent="0.25">
      <c r="A49" s="7"/>
      <c r="B49" s="4">
        <v>8.1000000000000016E-2</v>
      </c>
      <c r="C49" s="1" t="s">
        <v>14</v>
      </c>
      <c r="D49" s="4">
        <v>2.6149260418455324E-4</v>
      </c>
      <c r="E49" s="4">
        <v>2.3534334376609789E-3</v>
      </c>
      <c r="F49" s="4">
        <v>2.3534334376609789E-3</v>
      </c>
      <c r="G49" s="4">
        <v>2.118090093894881E-2</v>
      </c>
      <c r="H49" s="4">
        <v>2.9054733798283686E-5</v>
      </c>
      <c r="I49" s="4">
        <v>2.6149260418455319E-4</v>
      </c>
      <c r="J49" s="4">
        <v>2.6149260418455324E-4</v>
      </c>
      <c r="K49" s="4">
        <v>2.3534334376609789E-3</v>
      </c>
      <c r="N49" s="1" t="s">
        <v>14</v>
      </c>
      <c r="O49">
        <v>0.59904000000000013</v>
      </c>
      <c r="P49">
        <v>4.2414207650272743E-3</v>
      </c>
      <c r="Q49">
        <v>0.89856000000000014</v>
      </c>
      <c r="R49">
        <v>0.2515237887067393</v>
      </c>
      <c r="S49">
        <v>0.89856000000000014</v>
      </c>
      <c r="T49">
        <v>0.11696094717668501</v>
      </c>
      <c r="U49">
        <v>8.976782526115866E-2</v>
      </c>
      <c r="V49">
        <v>2.1081600000000003</v>
      </c>
      <c r="W49" s="7">
        <v>4.9668139819096107</v>
      </c>
      <c r="Z49" t="s">
        <v>69</v>
      </c>
      <c r="AB49">
        <v>12</v>
      </c>
      <c r="AC49" s="7"/>
    </row>
    <row r="50" spans="1:29" x14ac:dyDescent="0.25">
      <c r="A50" s="7"/>
      <c r="B50" s="4">
        <v>8.1000000000000016E-2</v>
      </c>
      <c r="C50" s="1" t="s">
        <v>15</v>
      </c>
      <c r="D50" s="4">
        <v>2.6149260418455324E-4</v>
      </c>
      <c r="E50" s="4">
        <v>2.3534334376609789E-3</v>
      </c>
      <c r="F50" s="4">
        <v>2.3534334376609789E-3</v>
      </c>
      <c r="G50" s="4">
        <v>2.118090093894881E-2</v>
      </c>
      <c r="H50" s="4">
        <v>2.9054733798283686E-5</v>
      </c>
      <c r="I50" s="4">
        <v>2.6149260418455319E-4</v>
      </c>
      <c r="J50" s="4">
        <v>2.6149260418455324E-4</v>
      </c>
      <c r="K50" s="4">
        <v>2.3534334376609789E-3</v>
      </c>
      <c r="N50" s="1" t="s">
        <v>15</v>
      </c>
      <c r="O50">
        <v>0.59904000000000013</v>
      </c>
      <c r="P50">
        <v>0.93696000000000024</v>
      </c>
      <c r="Q50">
        <v>0.89856000000000003</v>
      </c>
      <c r="R50">
        <v>0.25152378870673953</v>
      </c>
      <c r="S50">
        <v>1.1451737891737885E-2</v>
      </c>
      <c r="T50">
        <v>1.40544</v>
      </c>
      <c r="U50">
        <v>8.9767825261158563E-2</v>
      </c>
      <c r="V50">
        <v>0.58250729811778978</v>
      </c>
      <c r="W50" s="7">
        <v>4.7752506499774254</v>
      </c>
      <c r="AC50" s="7"/>
    </row>
    <row r="51" spans="1:29" x14ac:dyDescent="0.25">
      <c r="A51" s="7"/>
      <c r="B51" s="4">
        <v>0.72900000000000009</v>
      </c>
      <c r="C51" s="1" t="s">
        <v>16</v>
      </c>
      <c r="D51" s="4">
        <v>2.3534334376609789E-3</v>
      </c>
      <c r="E51" s="4">
        <v>2.118090093894881E-2</v>
      </c>
      <c r="F51" s="4">
        <v>2.118090093894881E-2</v>
      </c>
      <c r="G51" s="4">
        <v>0.19062810845053929</v>
      </c>
      <c r="H51" s="4">
        <v>2.6149260418455319E-4</v>
      </c>
      <c r="I51" s="4">
        <v>2.3534334376609785E-3</v>
      </c>
      <c r="J51" s="4">
        <v>2.3534334376609789E-3</v>
      </c>
      <c r="K51" s="4">
        <v>2.118090093894881E-2</v>
      </c>
      <c r="N51" s="1" t="s">
        <v>16</v>
      </c>
      <c r="O51">
        <v>0.89856000000000014</v>
      </c>
      <c r="P51">
        <v>0.2515237887067393</v>
      </c>
      <c r="Q51">
        <v>0.31555130104463447</v>
      </c>
      <c r="R51">
        <v>151.84707924711603</v>
      </c>
      <c r="S51">
        <v>1.3478399999999999</v>
      </c>
      <c r="T51">
        <v>0.58250729811778978</v>
      </c>
      <c r="U51">
        <v>0.51637855017410572</v>
      </c>
      <c r="V51">
        <v>0.42716612831410633</v>
      </c>
      <c r="W51" s="7">
        <v>156.18660631347339</v>
      </c>
      <c r="AC51" s="7"/>
    </row>
    <row r="52" spans="1:29" x14ac:dyDescent="0.25">
      <c r="A52" s="7"/>
      <c r="B52" s="4">
        <v>1.0000000000000002E-3</v>
      </c>
      <c r="C52" s="1" t="s">
        <v>17</v>
      </c>
      <c r="D52" s="4">
        <v>3.228303755364855E-6</v>
      </c>
      <c r="E52" s="4">
        <v>2.9054733798283692E-5</v>
      </c>
      <c r="F52" s="4">
        <v>2.9054733798283692E-5</v>
      </c>
      <c r="G52" s="4">
        <v>2.6149260418455324E-4</v>
      </c>
      <c r="H52" s="4">
        <v>3.5870041726276156E-7</v>
      </c>
      <c r="I52" s="4">
        <v>3.2283037553648546E-6</v>
      </c>
      <c r="J52" s="4">
        <v>3.228303755364855E-6</v>
      </c>
      <c r="K52" s="4">
        <v>2.9054733798283692E-5</v>
      </c>
      <c r="N52" s="1" t="s">
        <v>17</v>
      </c>
      <c r="O52">
        <v>0.26837760683760659</v>
      </c>
      <c r="P52">
        <v>0.93696000000000024</v>
      </c>
      <c r="Q52">
        <v>0.89856000000000003</v>
      </c>
      <c r="R52">
        <v>1.40544</v>
      </c>
      <c r="S52">
        <v>41.430255156695154</v>
      </c>
      <c r="T52">
        <v>0.25152378870673953</v>
      </c>
      <c r="U52">
        <v>0.31555130104463447</v>
      </c>
      <c r="V52">
        <v>0.58250729811778978</v>
      </c>
      <c r="W52" s="7">
        <v>46.089175151401925</v>
      </c>
      <c r="AC52" s="7"/>
    </row>
    <row r="53" spans="1:29" x14ac:dyDescent="0.25">
      <c r="A53" s="7"/>
      <c r="B53" s="4">
        <v>9.0000000000000028E-3</v>
      </c>
      <c r="C53" s="1" t="s">
        <v>18</v>
      </c>
      <c r="D53" s="4">
        <v>2.9054733798283696E-5</v>
      </c>
      <c r="E53" s="4">
        <v>2.6149260418455324E-4</v>
      </c>
      <c r="F53" s="4">
        <v>2.6149260418455324E-4</v>
      </c>
      <c r="G53" s="4">
        <v>2.3534334376609793E-3</v>
      </c>
      <c r="H53" s="4">
        <v>3.2283037553648546E-6</v>
      </c>
      <c r="I53" s="4">
        <v>2.9054733798283692E-5</v>
      </c>
      <c r="J53" s="4">
        <v>2.9054733798283696E-5</v>
      </c>
      <c r="K53" s="4">
        <v>2.6149260418455324E-4</v>
      </c>
      <c r="N53" s="1" t="s">
        <v>18</v>
      </c>
      <c r="O53">
        <v>0.89856000000000014</v>
      </c>
      <c r="P53">
        <v>0.2515237887067393</v>
      </c>
      <c r="Q53">
        <v>1.3478399999999999</v>
      </c>
      <c r="R53">
        <v>0.58250729811778978</v>
      </c>
      <c r="S53">
        <v>0.31555130104463447</v>
      </c>
      <c r="T53">
        <v>56.272853381906501</v>
      </c>
      <c r="U53">
        <v>2.02176</v>
      </c>
      <c r="V53">
        <v>0.42716612831410633</v>
      </c>
      <c r="W53" s="7">
        <v>62.117761898089768</v>
      </c>
      <c r="AC53" s="7"/>
    </row>
    <row r="54" spans="1:29" x14ac:dyDescent="0.25">
      <c r="A54" s="7"/>
      <c r="B54" s="4">
        <v>9.0000000000000011E-3</v>
      </c>
      <c r="C54" s="1" t="s">
        <v>19</v>
      </c>
      <c r="D54" s="4">
        <v>2.9054733798283689E-5</v>
      </c>
      <c r="E54" s="4">
        <v>2.6149260418455319E-4</v>
      </c>
      <c r="F54" s="4">
        <v>2.6149260418455319E-4</v>
      </c>
      <c r="G54" s="4">
        <v>2.3534334376609789E-3</v>
      </c>
      <c r="H54" s="4">
        <v>3.2283037553648538E-6</v>
      </c>
      <c r="I54" s="4">
        <v>2.9054733798283686E-5</v>
      </c>
      <c r="J54" s="4">
        <v>2.9054733798283689E-5</v>
      </c>
      <c r="K54" s="4">
        <v>2.6149260418455319E-4</v>
      </c>
      <c r="N54" s="1" t="s">
        <v>19</v>
      </c>
      <c r="O54">
        <v>1.1451737891737859E-2</v>
      </c>
      <c r="P54">
        <v>1.4054400000000002</v>
      </c>
      <c r="Q54">
        <v>0.31555130104463447</v>
      </c>
      <c r="R54">
        <v>0.58250729811778978</v>
      </c>
      <c r="S54">
        <v>8.9767825261158563E-2</v>
      </c>
      <c r="T54">
        <v>0.58250729811778978</v>
      </c>
      <c r="U54">
        <v>59.612294979423865</v>
      </c>
      <c r="V54">
        <v>1.4784715320785262</v>
      </c>
      <c r="W54" s="7">
        <v>64.077991971935504</v>
      </c>
      <c r="AC54" s="7"/>
    </row>
    <row r="55" spans="1:29" x14ac:dyDescent="0.25">
      <c r="A55" s="7"/>
      <c r="B55" s="4">
        <v>8.1000000000000016E-2</v>
      </c>
      <c r="C55" s="1" t="s">
        <v>20</v>
      </c>
      <c r="D55" s="4">
        <v>2.6149260418455324E-4</v>
      </c>
      <c r="E55" s="4">
        <v>2.3534334376609789E-3</v>
      </c>
      <c r="F55" s="4">
        <v>2.3534334376609789E-3</v>
      </c>
      <c r="G55" s="4">
        <v>2.118090093894881E-2</v>
      </c>
      <c r="H55" s="4">
        <v>2.9054733798283686E-5</v>
      </c>
      <c r="I55" s="4">
        <v>2.6149260418455319E-4</v>
      </c>
      <c r="J55" s="4">
        <v>2.6149260418455324E-4</v>
      </c>
      <c r="K55" s="4">
        <v>2.3534334376609789E-3</v>
      </c>
      <c r="N55" s="1" t="s">
        <v>20</v>
      </c>
      <c r="O55">
        <v>1.3478400000000001</v>
      </c>
      <c r="P55">
        <v>2.1081600000000003</v>
      </c>
      <c r="Q55">
        <v>0.51637855017410572</v>
      </c>
      <c r="R55">
        <v>0.42716612831410655</v>
      </c>
      <c r="S55">
        <v>0.51637855017410572</v>
      </c>
      <c r="T55">
        <v>1.4784715320785269</v>
      </c>
      <c r="U55">
        <v>1.3623857001160704</v>
      </c>
      <c r="V55">
        <v>2.9541810213856845</v>
      </c>
      <c r="W55" s="7">
        <v>10.710961482242601</v>
      </c>
      <c r="AC55" s="7"/>
    </row>
    <row r="56" spans="1:29" x14ac:dyDescent="0.25">
      <c r="A56" s="7"/>
      <c r="O56" s="7">
        <v>5.0222293447293449</v>
      </c>
      <c r="P56" s="7">
        <v>6.5194489981785075</v>
      </c>
      <c r="Q56" s="7">
        <v>5.7900411522633748</v>
      </c>
      <c r="R56" s="7">
        <v>156.2847075490792</v>
      </c>
      <c r="S56" s="7">
        <v>44.878182177904392</v>
      </c>
      <c r="T56" s="7">
        <v>60.694505666869063</v>
      </c>
      <c r="U56" s="7">
        <v>64.90646618128099</v>
      </c>
      <c r="V56" s="7">
        <v>9.9655994063280033</v>
      </c>
      <c r="W56" s="22">
        <v>354.0611804766329</v>
      </c>
      <c r="X56" t="s">
        <v>64</v>
      </c>
      <c r="AC56" s="7"/>
    </row>
    <row r="57" spans="1:29" x14ac:dyDescent="0.25">
      <c r="A57" s="7"/>
      <c r="C57" s="1" t="s">
        <v>29</v>
      </c>
      <c r="D57" s="4">
        <v>1.0880643098309158E-2</v>
      </c>
      <c r="E57" s="4">
        <v>1.2089603442565731E-3</v>
      </c>
      <c r="F57" s="4">
        <v>1.2089603442565731E-3</v>
      </c>
      <c r="G57" s="4">
        <v>1.3432892713961925E-4</v>
      </c>
      <c r="H57" s="4">
        <v>9.7925787884782414E-2</v>
      </c>
      <c r="I57" s="4">
        <v>1.0880643098309158E-2</v>
      </c>
      <c r="J57" s="4">
        <v>1.0880643098309158E-2</v>
      </c>
      <c r="K57" s="4">
        <v>1.2089603442565731E-3</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8.1000000000000016E-2</v>
      </c>
      <c r="C59" s="1" t="s">
        <v>13</v>
      </c>
      <c r="D59" s="4">
        <v>8.8133209096304197E-4</v>
      </c>
      <c r="E59" s="4">
        <v>9.7925787884782449E-5</v>
      </c>
      <c r="F59" s="4">
        <v>9.7925787884782449E-5</v>
      </c>
      <c r="G59" s="4">
        <v>1.0880643098309161E-5</v>
      </c>
      <c r="H59" s="4">
        <v>7.9319888186673779E-3</v>
      </c>
      <c r="I59" s="4">
        <v>8.8133209096304197E-4</v>
      </c>
      <c r="J59" s="4">
        <v>8.8133209096304197E-4</v>
      </c>
      <c r="K59" s="4">
        <v>9.7925787884782449E-5</v>
      </c>
      <c r="AC59" s="7"/>
    </row>
    <row r="60" spans="1:29" x14ac:dyDescent="0.25">
      <c r="A60" s="7"/>
      <c r="B60" s="4">
        <v>9.0000000000000011E-3</v>
      </c>
      <c r="C60" s="1" t="s">
        <v>14</v>
      </c>
      <c r="D60" s="4">
        <v>9.7925787884782436E-5</v>
      </c>
      <c r="E60" s="4">
        <v>1.0880643098309159E-5</v>
      </c>
      <c r="F60" s="4">
        <v>1.0880643098309159E-5</v>
      </c>
      <c r="G60" s="4">
        <v>1.2089603442565734E-6</v>
      </c>
      <c r="H60" s="4">
        <v>8.8133209096304187E-4</v>
      </c>
      <c r="I60" s="4">
        <v>9.7925787884782436E-5</v>
      </c>
      <c r="J60" s="4">
        <v>9.7925787884782436E-5</v>
      </c>
      <c r="K60" s="4">
        <v>1.0880643098309159E-5</v>
      </c>
      <c r="O60" s="23"/>
      <c r="P60" s="23"/>
      <c r="Q60" s="23"/>
      <c r="R60" s="23"/>
      <c r="S60" s="23"/>
      <c r="T60" s="23"/>
      <c r="U60" s="23"/>
      <c r="V60" s="23"/>
      <c r="AC60" s="7"/>
    </row>
    <row r="61" spans="1:29" x14ac:dyDescent="0.25">
      <c r="A61" s="7"/>
      <c r="B61" s="4">
        <v>9.0000000000000028E-3</v>
      </c>
      <c r="C61" s="1" t="s">
        <v>15</v>
      </c>
      <c r="D61" s="4">
        <v>9.7925787884782449E-5</v>
      </c>
      <c r="E61" s="4">
        <v>1.0880643098309161E-5</v>
      </c>
      <c r="F61" s="4">
        <v>1.0880643098309161E-5</v>
      </c>
      <c r="G61" s="4">
        <v>1.2089603442565736E-6</v>
      </c>
      <c r="H61" s="4">
        <v>8.8133209096304197E-4</v>
      </c>
      <c r="I61" s="4">
        <v>9.7925787884782449E-5</v>
      </c>
      <c r="J61" s="4">
        <v>9.7925787884782449E-5</v>
      </c>
      <c r="K61" s="4">
        <v>1.0880643098309161E-5</v>
      </c>
      <c r="O61" s="23"/>
      <c r="P61" s="23"/>
      <c r="Q61" s="23"/>
      <c r="R61" s="23"/>
      <c r="S61" s="23"/>
      <c r="T61" s="23"/>
      <c r="U61" s="23"/>
      <c r="V61" s="23"/>
      <c r="AC61" s="7"/>
    </row>
    <row r="62" spans="1:29" x14ac:dyDescent="0.25">
      <c r="A62" s="7"/>
      <c r="B62" s="4">
        <v>1.0000000000000002E-3</v>
      </c>
      <c r="C62" s="1" t="s">
        <v>16</v>
      </c>
      <c r="D62" s="4">
        <v>1.0880643098309161E-5</v>
      </c>
      <c r="E62" s="4">
        <v>1.2089603442565734E-6</v>
      </c>
      <c r="F62" s="4">
        <v>1.2089603442565734E-6</v>
      </c>
      <c r="G62" s="4">
        <v>1.3432892713961928E-7</v>
      </c>
      <c r="H62" s="4">
        <v>9.7925787884782436E-5</v>
      </c>
      <c r="I62" s="4">
        <v>1.0880643098309161E-5</v>
      </c>
      <c r="J62" s="4">
        <v>1.0880643098309161E-5</v>
      </c>
      <c r="K62" s="4">
        <v>1.2089603442565734E-6</v>
      </c>
      <c r="O62" s="23"/>
      <c r="P62" s="23"/>
      <c r="Q62" s="23"/>
      <c r="R62" s="23"/>
      <c r="S62" s="23"/>
      <c r="T62" s="23"/>
      <c r="U62" s="23"/>
      <c r="V62" s="23"/>
      <c r="AC62" s="7"/>
    </row>
    <row r="63" spans="1:29" x14ac:dyDescent="0.25">
      <c r="A63" s="7"/>
      <c r="B63" s="4">
        <v>0.72900000000000009</v>
      </c>
      <c r="C63" s="1" t="s">
        <v>17</v>
      </c>
      <c r="D63" s="4">
        <v>7.9319888186673779E-3</v>
      </c>
      <c r="E63" s="4">
        <v>8.8133209096304197E-4</v>
      </c>
      <c r="F63" s="4">
        <v>8.8133209096304197E-4</v>
      </c>
      <c r="G63" s="4">
        <v>9.7925787884782449E-5</v>
      </c>
      <c r="H63" s="4">
        <v>7.1387899368006394E-2</v>
      </c>
      <c r="I63" s="4">
        <v>7.9319888186673779E-3</v>
      </c>
      <c r="J63" s="4">
        <v>7.9319888186673779E-3</v>
      </c>
      <c r="K63" s="4">
        <v>8.8133209096304197E-4</v>
      </c>
      <c r="O63" s="23"/>
      <c r="P63" s="23"/>
      <c r="Q63" s="23"/>
      <c r="R63" s="23"/>
      <c r="S63" s="23"/>
      <c r="T63" s="23"/>
      <c r="U63" s="23"/>
      <c r="V63" s="23"/>
      <c r="AC63" s="7"/>
    </row>
    <row r="64" spans="1:29" x14ac:dyDescent="0.25">
      <c r="A64" s="7"/>
      <c r="B64" s="4">
        <v>8.1000000000000016E-2</v>
      </c>
      <c r="C64" s="1" t="s">
        <v>18</v>
      </c>
      <c r="D64" s="4">
        <v>8.8133209096304197E-4</v>
      </c>
      <c r="E64" s="4">
        <v>9.7925787884782449E-5</v>
      </c>
      <c r="F64" s="4">
        <v>9.7925787884782449E-5</v>
      </c>
      <c r="G64" s="4">
        <v>1.0880643098309161E-5</v>
      </c>
      <c r="H64" s="4">
        <v>7.9319888186673779E-3</v>
      </c>
      <c r="I64" s="4">
        <v>8.8133209096304197E-4</v>
      </c>
      <c r="J64" s="4">
        <v>8.8133209096304197E-4</v>
      </c>
      <c r="K64" s="4">
        <v>9.7925787884782449E-5</v>
      </c>
      <c r="O64" s="23"/>
      <c r="P64" s="23"/>
      <c r="Q64" s="23"/>
      <c r="R64" s="23"/>
      <c r="S64" s="23"/>
      <c r="T64" s="23"/>
      <c r="U64" s="23"/>
      <c r="V64" s="23"/>
      <c r="AC64" s="7"/>
    </row>
    <row r="65" spans="1:29" x14ac:dyDescent="0.25">
      <c r="A65" s="7"/>
      <c r="B65" s="4">
        <v>8.1000000000000016E-2</v>
      </c>
      <c r="C65" s="1" t="s">
        <v>19</v>
      </c>
      <c r="D65" s="4">
        <v>8.8133209096304197E-4</v>
      </c>
      <c r="E65" s="4">
        <v>9.7925787884782449E-5</v>
      </c>
      <c r="F65" s="4">
        <v>9.7925787884782449E-5</v>
      </c>
      <c r="G65" s="4">
        <v>1.0880643098309161E-5</v>
      </c>
      <c r="H65" s="4">
        <v>7.9319888186673779E-3</v>
      </c>
      <c r="I65" s="4">
        <v>8.8133209096304197E-4</v>
      </c>
      <c r="J65" s="4">
        <v>8.8133209096304197E-4</v>
      </c>
      <c r="K65" s="4">
        <v>9.7925787884782449E-5</v>
      </c>
      <c r="O65" s="23"/>
      <c r="P65" s="23"/>
      <c r="Q65" s="23"/>
      <c r="R65" s="23"/>
      <c r="S65" s="23"/>
      <c r="T65" s="23"/>
      <c r="U65" s="23"/>
      <c r="V65" s="23"/>
      <c r="AC65" s="7"/>
    </row>
    <row r="66" spans="1:29" x14ac:dyDescent="0.25">
      <c r="A66" s="7"/>
      <c r="B66" s="4">
        <v>9.0000000000000011E-3</v>
      </c>
      <c r="C66" s="1" t="s">
        <v>20</v>
      </c>
      <c r="D66" s="4">
        <v>9.7925787884782436E-5</v>
      </c>
      <c r="E66" s="4">
        <v>1.0880643098309159E-5</v>
      </c>
      <c r="F66" s="4">
        <v>1.0880643098309159E-5</v>
      </c>
      <c r="G66" s="4">
        <v>1.2089603442565734E-6</v>
      </c>
      <c r="H66" s="4">
        <v>8.8133209096304187E-4</v>
      </c>
      <c r="I66" s="4">
        <v>9.7925787884782436E-5</v>
      </c>
      <c r="J66" s="4">
        <v>9.7925787884782436E-5</v>
      </c>
      <c r="K66" s="4">
        <v>1.0880643098309159E-5</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2.2623688715715756E-3</v>
      </c>
      <c r="E68" s="4">
        <v>2.0361319844144181E-2</v>
      </c>
      <c r="F68" s="4">
        <v>2.5137431906350842E-4</v>
      </c>
      <c r="G68" s="4">
        <v>2.262368871571576E-3</v>
      </c>
      <c r="H68" s="4">
        <v>2.0361319844144181E-2</v>
      </c>
      <c r="I68" s="4">
        <v>0.18325187859729761</v>
      </c>
      <c r="J68" s="4">
        <v>2.2623688715715756E-3</v>
      </c>
      <c r="K68" s="4">
        <v>2.0361319844144177E-2</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9.0000000000000011E-3</v>
      </c>
      <c r="C70" s="1" t="s">
        <v>13</v>
      </c>
      <c r="D70" s="4">
        <v>2.0361319844144182E-5</v>
      </c>
      <c r="E70" s="4">
        <v>1.8325187859729764E-4</v>
      </c>
      <c r="F70" s="4">
        <v>2.2623688715715761E-6</v>
      </c>
      <c r="G70" s="4">
        <v>2.0361319844144185E-5</v>
      </c>
      <c r="H70" s="4">
        <v>1.8325187859729764E-4</v>
      </c>
      <c r="I70" s="4">
        <v>1.6492669073756786E-3</v>
      </c>
      <c r="J70" s="4">
        <v>2.0361319844144182E-5</v>
      </c>
      <c r="K70" s="4">
        <v>1.8325187859729762E-4</v>
      </c>
      <c r="AC70" s="7"/>
    </row>
    <row r="71" spans="1:29" x14ac:dyDescent="0.25">
      <c r="A71" s="7"/>
      <c r="B71" s="4">
        <v>8.1000000000000016E-2</v>
      </c>
      <c r="C71" s="1" t="s">
        <v>14</v>
      </c>
      <c r="D71" s="4">
        <v>1.8325187859729767E-4</v>
      </c>
      <c r="E71" s="4">
        <v>1.6492669073756791E-3</v>
      </c>
      <c r="F71" s="4">
        <v>2.0361319844144185E-5</v>
      </c>
      <c r="G71" s="4">
        <v>1.832518785972977E-4</v>
      </c>
      <c r="H71" s="4">
        <v>1.6492669073756791E-3</v>
      </c>
      <c r="I71" s="4">
        <v>1.4843402166381109E-2</v>
      </c>
      <c r="J71" s="4">
        <v>1.8325187859729767E-4</v>
      </c>
      <c r="K71" s="4">
        <v>1.6492669073756786E-3</v>
      </c>
      <c r="AC71" s="7"/>
    </row>
    <row r="72" spans="1:29" x14ac:dyDescent="0.25">
      <c r="A72" s="7"/>
      <c r="B72" s="4">
        <v>1.0000000000000002E-3</v>
      </c>
      <c r="C72" s="1" t="s">
        <v>15</v>
      </c>
      <c r="D72" s="4">
        <v>2.2623688715715761E-6</v>
      </c>
      <c r="E72" s="4">
        <v>2.0361319844144185E-5</v>
      </c>
      <c r="F72" s="4">
        <v>2.5137431906350847E-7</v>
      </c>
      <c r="G72" s="4">
        <v>2.2623688715715765E-6</v>
      </c>
      <c r="H72" s="4">
        <v>2.0361319844144185E-5</v>
      </c>
      <c r="I72" s="4">
        <v>1.8325187859729764E-4</v>
      </c>
      <c r="J72" s="4">
        <v>2.2623688715715761E-6</v>
      </c>
      <c r="K72" s="4">
        <v>2.0361319844144182E-5</v>
      </c>
      <c r="AC72" s="7"/>
    </row>
    <row r="73" spans="1:29" x14ac:dyDescent="0.25">
      <c r="A73" s="7"/>
      <c r="B73" s="4">
        <v>9.0000000000000028E-3</v>
      </c>
      <c r="C73" s="1" t="s">
        <v>16</v>
      </c>
      <c r="D73" s="4">
        <v>2.0361319844144185E-5</v>
      </c>
      <c r="E73" s="4">
        <v>1.832518785972977E-4</v>
      </c>
      <c r="F73" s="4">
        <v>2.2623688715715765E-6</v>
      </c>
      <c r="G73" s="4">
        <v>2.0361319844144192E-5</v>
      </c>
      <c r="H73" s="4">
        <v>1.832518785972977E-4</v>
      </c>
      <c r="I73" s="4">
        <v>1.6492669073756791E-3</v>
      </c>
      <c r="J73" s="4">
        <v>2.0361319844144185E-5</v>
      </c>
      <c r="K73" s="4">
        <v>1.8325187859729764E-4</v>
      </c>
      <c r="AC73" s="7"/>
    </row>
    <row r="74" spans="1:29" x14ac:dyDescent="0.25">
      <c r="A74" s="7"/>
      <c r="B74" s="4">
        <v>8.1000000000000016E-2</v>
      </c>
      <c r="C74" s="1" t="s">
        <v>17</v>
      </c>
      <c r="D74" s="4">
        <v>1.8325187859729767E-4</v>
      </c>
      <c r="E74" s="4">
        <v>1.6492669073756791E-3</v>
      </c>
      <c r="F74" s="4">
        <v>2.0361319844144185E-5</v>
      </c>
      <c r="G74" s="4">
        <v>1.832518785972977E-4</v>
      </c>
      <c r="H74" s="4">
        <v>1.6492669073756791E-3</v>
      </c>
      <c r="I74" s="4">
        <v>1.4843402166381109E-2</v>
      </c>
      <c r="J74" s="4">
        <v>1.8325187859729767E-4</v>
      </c>
      <c r="K74" s="4">
        <v>1.6492669073756786E-3</v>
      </c>
      <c r="AC74" s="7"/>
    </row>
    <row r="75" spans="1:29" x14ac:dyDescent="0.25">
      <c r="A75" s="7"/>
      <c r="B75" s="4">
        <v>0.72900000000000009</v>
      </c>
      <c r="C75" s="1" t="s">
        <v>18</v>
      </c>
      <c r="D75" s="4">
        <v>1.6492669073756789E-3</v>
      </c>
      <c r="E75" s="4">
        <v>1.4843402166381111E-2</v>
      </c>
      <c r="F75" s="4">
        <v>1.8325187859729767E-4</v>
      </c>
      <c r="G75" s="4">
        <v>1.6492669073756791E-3</v>
      </c>
      <c r="H75" s="4">
        <v>1.4843402166381111E-2</v>
      </c>
      <c r="I75" s="4">
        <v>0.13359061949742998</v>
      </c>
      <c r="J75" s="4">
        <v>1.6492669073756789E-3</v>
      </c>
      <c r="K75" s="4">
        <v>1.4843402166381107E-2</v>
      </c>
      <c r="AC75" s="7"/>
    </row>
    <row r="76" spans="1:29" x14ac:dyDescent="0.25">
      <c r="A76" s="7"/>
      <c r="B76" s="4">
        <v>9.0000000000000011E-3</v>
      </c>
      <c r="C76" s="1" t="s">
        <v>19</v>
      </c>
      <c r="D76" s="4">
        <v>2.0361319844144182E-5</v>
      </c>
      <c r="E76" s="4">
        <v>1.8325187859729764E-4</v>
      </c>
      <c r="F76" s="4">
        <v>2.2623688715715761E-6</v>
      </c>
      <c r="G76" s="4">
        <v>2.0361319844144185E-5</v>
      </c>
      <c r="H76" s="4">
        <v>1.8325187859729764E-4</v>
      </c>
      <c r="I76" s="4">
        <v>1.6492669073756786E-3</v>
      </c>
      <c r="J76" s="4">
        <v>2.0361319844144182E-5</v>
      </c>
      <c r="K76" s="4">
        <v>1.8325187859729762E-4</v>
      </c>
      <c r="AC76" s="7"/>
    </row>
    <row r="77" spans="1:29" x14ac:dyDescent="0.25">
      <c r="A77" s="7"/>
      <c r="B77" s="4">
        <v>8.1000000000000016E-2</v>
      </c>
      <c r="C77" s="1" t="s">
        <v>20</v>
      </c>
      <c r="D77" s="4">
        <v>1.8325187859729767E-4</v>
      </c>
      <c r="E77" s="4">
        <v>1.6492669073756791E-3</v>
      </c>
      <c r="F77" s="4">
        <v>2.0361319844144185E-5</v>
      </c>
      <c r="G77" s="4">
        <v>1.832518785972977E-4</v>
      </c>
      <c r="H77" s="4">
        <v>1.6492669073756791E-3</v>
      </c>
      <c r="I77" s="4">
        <v>1.4843402166381109E-2</v>
      </c>
      <c r="J77" s="4">
        <v>1.8325187859729767E-4</v>
      </c>
      <c r="K77" s="4">
        <v>1.6492669073756786E-3</v>
      </c>
      <c r="AC77" s="7"/>
    </row>
    <row r="78" spans="1:29" x14ac:dyDescent="0.25">
      <c r="A78" s="7"/>
      <c r="AC78" s="7"/>
    </row>
    <row r="79" spans="1:29" x14ac:dyDescent="0.25">
      <c r="A79" s="7"/>
      <c r="C79" s="1" t="s">
        <v>31</v>
      </c>
      <c r="D79" s="4">
        <v>2.3003670392418951E-3</v>
      </c>
      <c r="E79" s="4">
        <v>2.5559633769354394E-4</v>
      </c>
      <c r="F79" s="4">
        <v>2.0703303353177056E-2</v>
      </c>
      <c r="G79" s="4">
        <v>2.3003670392418951E-3</v>
      </c>
      <c r="H79" s="4">
        <v>2.0703303353177056E-2</v>
      </c>
      <c r="I79" s="4">
        <v>2.3003670392418951E-3</v>
      </c>
      <c r="J79" s="4">
        <v>0.18632973017859353</v>
      </c>
      <c r="K79" s="4">
        <v>2.070330335317706E-2</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9.0000000000000028E-3</v>
      </c>
      <c r="C81" s="1" t="s">
        <v>13</v>
      </c>
      <c r="D81" s="4">
        <v>2.0703303353177062E-5</v>
      </c>
      <c r="E81" s="4">
        <v>2.3003670392418961E-6</v>
      </c>
      <c r="F81" s="4">
        <v>1.8632973017859356E-4</v>
      </c>
      <c r="G81" s="4">
        <v>2.0703303353177062E-5</v>
      </c>
      <c r="H81" s="4">
        <v>1.8632973017859356E-4</v>
      </c>
      <c r="I81" s="4">
        <v>2.0703303353177062E-5</v>
      </c>
      <c r="J81" s="4">
        <v>1.6769675716073423E-3</v>
      </c>
      <c r="K81" s="4">
        <v>1.8632973017859358E-4</v>
      </c>
      <c r="AC81" s="7"/>
    </row>
    <row r="82" spans="1:29" x14ac:dyDescent="0.25">
      <c r="A82" s="7"/>
      <c r="B82" s="4">
        <v>1.0000000000000002E-3</v>
      </c>
      <c r="C82" s="1" t="s">
        <v>14</v>
      </c>
      <c r="D82" s="4">
        <v>2.3003670392418957E-6</v>
      </c>
      <c r="E82" s="4">
        <v>2.55596337693544E-7</v>
      </c>
      <c r="F82" s="4">
        <v>2.0703303353177062E-5</v>
      </c>
      <c r="G82" s="4">
        <v>2.3003670392418957E-6</v>
      </c>
      <c r="H82" s="4">
        <v>2.0703303353177062E-5</v>
      </c>
      <c r="I82" s="4">
        <v>2.3003670392418957E-6</v>
      </c>
      <c r="J82" s="4">
        <v>1.8632973017859358E-4</v>
      </c>
      <c r="K82" s="4">
        <v>2.0703303353177066E-5</v>
      </c>
      <c r="AC82" s="7"/>
    </row>
    <row r="83" spans="1:29" x14ac:dyDescent="0.25">
      <c r="A83" s="7"/>
      <c r="B83" s="4">
        <v>8.1000000000000016E-2</v>
      </c>
      <c r="C83" s="1" t="s">
        <v>15</v>
      </c>
      <c r="D83" s="4">
        <v>1.8632973017859353E-4</v>
      </c>
      <c r="E83" s="4">
        <v>2.0703303353177062E-5</v>
      </c>
      <c r="F83" s="4">
        <v>1.6769675716073419E-3</v>
      </c>
      <c r="G83" s="4">
        <v>1.8632973017859353E-4</v>
      </c>
      <c r="H83" s="4">
        <v>1.6769675716073419E-3</v>
      </c>
      <c r="I83" s="4">
        <v>1.8632973017859353E-4</v>
      </c>
      <c r="J83" s="4">
        <v>1.509270814446608E-2</v>
      </c>
      <c r="K83" s="4">
        <v>1.6769675716073421E-3</v>
      </c>
      <c r="AC83" s="7"/>
    </row>
    <row r="84" spans="1:29" x14ac:dyDescent="0.25">
      <c r="A84" s="7"/>
      <c r="B84" s="4">
        <v>9.0000000000000011E-3</v>
      </c>
      <c r="C84" s="1" t="s">
        <v>16</v>
      </c>
      <c r="D84" s="4">
        <v>2.0703303353177059E-5</v>
      </c>
      <c r="E84" s="4">
        <v>2.3003670392418957E-6</v>
      </c>
      <c r="F84" s="4">
        <v>1.8632973017859353E-4</v>
      </c>
      <c r="G84" s="4">
        <v>2.0703303353177059E-5</v>
      </c>
      <c r="H84" s="4">
        <v>1.8632973017859353E-4</v>
      </c>
      <c r="I84" s="4">
        <v>2.0703303353177059E-5</v>
      </c>
      <c r="J84" s="4">
        <v>1.6769675716073419E-3</v>
      </c>
      <c r="K84" s="4">
        <v>1.8632973017859356E-4</v>
      </c>
      <c r="AC84" s="7"/>
    </row>
    <row r="85" spans="1:29" x14ac:dyDescent="0.25">
      <c r="A85" s="7"/>
      <c r="B85" s="4">
        <v>8.1000000000000016E-2</v>
      </c>
      <c r="C85" s="1" t="s">
        <v>17</v>
      </c>
      <c r="D85" s="4">
        <v>1.8632973017859353E-4</v>
      </c>
      <c r="E85" s="4">
        <v>2.0703303353177062E-5</v>
      </c>
      <c r="F85" s="4">
        <v>1.6769675716073419E-3</v>
      </c>
      <c r="G85" s="4">
        <v>1.8632973017859353E-4</v>
      </c>
      <c r="H85" s="4">
        <v>1.6769675716073419E-3</v>
      </c>
      <c r="I85" s="4">
        <v>1.8632973017859353E-4</v>
      </c>
      <c r="J85" s="4">
        <v>1.509270814446608E-2</v>
      </c>
      <c r="K85" s="4">
        <v>1.6769675716073421E-3</v>
      </c>
      <c r="AC85" s="7"/>
    </row>
    <row r="86" spans="1:29" x14ac:dyDescent="0.25">
      <c r="A86" s="7"/>
      <c r="B86" s="4">
        <v>9.0000000000000011E-3</v>
      </c>
      <c r="C86" s="1" t="s">
        <v>18</v>
      </c>
      <c r="D86" s="4">
        <v>2.0703303353177059E-5</v>
      </c>
      <c r="E86" s="4">
        <v>2.3003670392418957E-6</v>
      </c>
      <c r="F86" s="4">
        <v>1.8632973017859353E-4</v>
      </c>
      <c r="G86" s="4">
        <v>2.0703303353177059E-5</v>
      </c>
      <c r="H86" s="4">
        <v>1.8632973017859353E-4</v>
      </c>
      <c r="I86" s="4">
        <v>2.0703303353177059E-5</v>
      </c>
      <c r="J86" s="4">
        <v>1.6769675716073419E-3</v>
      </c>
      <c r="K86" s="4">
        <v>1.8632973017859356E-4</v>
      </c>
      <c r="AC86" s="7"/>
    </row>
    <row r="87" spans="1:29" x14ac:dyDescent="0.25">
      <c r="A87" s="7"/>
      <c r="B87" s="4">
        <v>0.72900000000000009</v>
      </c>
      <c r="C87" s="1" t="s">
        <v>19</v>
      </c>
      <c r="D87" s="4">
        <v>1.6769675716073417E-3</v>
      </c>
      <c r="E87" s="4">
        <v>1.8632973017859356E-4</v>
      </c>
      <c r="F87" s="4">
        <v>1.5092708144466076E-2</v>
      </c>
      <c r="G87" s="4">
        <v>1.6769675716073417E-3</v>
      </c>
      <c r="H87" s="4">
        <v>1.5092708144466076E-2</v>
      </c>
      <c r="I87" s="4">
        <v>1.6769675716073417E-3</v>
      </c>
      <c r="J87" s="4">
        <v>0.13583437330019471</v>
      </c>
      <c r="K87" s="4">
        <v>1.5092708144466078E-2</v>
      </c>
      <c r="AC87" s="7"/>
    </row>
    <row r="88" spans="1:29" x14ac:dyDescent="0.25">
      <c r="A88" s="7"/>
      <c r="B88" s="4">
        <v>8.1000000000000016E-2</v>
      </c>
      <c r="C88" s="1" t="s">
        <v>20</v>
      </c>
      <c r="D88" s="4">
        <v>1.8632973017859353E-4</v>
      </c>
      <c r="E88" s="4">
        <v>2.0703303353177062E-5</v>
      </c>
      <c r="F88" s="4">
        <v>1.6769675716073419E-3</v>
      </c>
      <c r="G88" s="4">
        <v>1.8632973017859353E-4</v>
      </c>
      <c r="H88" s="4">
        <v>1.6769675716073419E-3</v>
      </c>
      <c r="I88" s="4">
        <v>1.8632973017859353E-4</v>
      </c>
      <c r="J88" s="4">
        <v>1.509270814446608E-2</v>
      </c>
      <c r="K88" s="4">
        <v>1.6769675716073421E-3</v>
      </c>
      <c r="AC88" s="7"/>
    </row>
    <row r="89" spans="1:29" x14ac:dyDescent="0.25">
      <c r="A89" s="7"/>
      <c r="AC89" s="7"/>
    </row>
    <row r="90" spans="1:29" x14ac:dyDescent="0.25">
      <c r="A90" s="7"/>
      <c r="C90" s="1" t="s">
        <v>32</v>
      </c>
      <c r="D90" s="4">
        <v>0</v>
      </c>
      <c r="E90" s="4">
        <v>0</v>
      </c>
      <c r="F90" s="4">
        <v>0</v>
      </c>
      <c r="G90" s="4">
        <v>0</v>
      </c>
      <c r="H90" s="4">
        <v>0</v>
      </c>
      <c r="I90" s="4">
        <v>0</v>
      </c>
      <c r="J90" s="4">
        <v>0</v>
      </c>
      <c r="K90" s="4">
        <v>0</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1.0000000000000002E-3</v>
      </c>
      <c r="C92" s="1" t="s">
        <v>13</v>
      </c>
      <c r="D92" s="4">
        <v>0</v>
      </c>
      <c r="E92" s="4">
        <v>0</v>
      </c>
      <c r="F92" s="4">
        <v>0</v>
      </c>
      <c r="G92" s="4">
        <v>0</v>
      </c>
      <c r="H92" s="4">
        <v>0</v>
      </c>
      <c r="I92" s="4">
        <v>0</v>
      </c>
      <c r="J92" s="4">
        <v>0</v>
      </c>
      <c r="K92" s="4">
        <v>0</v>
      </c>
      <c r="AC92" s="7"/>
    </row>
    <row r="93" spans="1:29" x14ac:dyDescent="0.25">
      <c r="A93" s="7"/>
      <c r="B93" s="4">
        <v>9.0000000000000028E-3</v>
      </c>
      <c r="C93" s="1" t="s">
        <v>14</v>
      </c>
      <c r="D93" s="4">
        <v>0</v>
      </c>
      <c r="E93" s="4">
        <v>0</v>
      </c>
      <c r="F93" s="4">
        <v>0</v>
      </c>
      <c r="G93" s="4">
        <v>0</v>
      </c>
      <c r="H93" s="4">
        <v>0</v>
      </c>
      <c r="I93" s="4">
        <v>0</v>
      </c>
      <c r="J93" s="4">
        <v>0</v>
      </c>
      <c r="K93" s="4">
        <v>0</v>
      </c>
      <c r="AC93" s="7"/>
    </row>
    <row r="94" spans="1:29" x14ac:dyDescent="0.25">
      <c r="A94" s="7"/>
      <c r="B94" s="4">
        <v>9.0000000000000011E-3</v>
      </c>
      <c r="C94" s="1" t="s">
        <v>15</v>
      </c>
      <c r="D94" s="4">
        <v>0</v>
      </c>
      <c r="E94" s="4">
        <v>0</v>
      </c>
      <c r="F94" s="4">
        <v>0</v>
      </c>
      <c r="G94" s="4">
        <v>0</v>
      </c>
      <c r="H94" s="4">
        <v>0</v>
      </c>
      <c r="I94" s="4">
        <v>0</v>
      </c>
      <c r="J94" s="4">
        <v>0</v>
      </c>
      <c r="K94" s="4">
        <v>0</v>
      </c>
      <c r="AC94" s="7"/>
    </row>
    <row r="95" spans="1:29" x14ac:dyDescent="0.25">
      <c r="A95" s="7"/>
      <c r="B95" s="4">
        <v>8.1000000000000016E-2</v>
      </c>
      <c r="C95" s="1" t="s">
        <v>16</v>
      </c>
      <c r="D95" s="4">
        <v>0</v>
      </c>
      <c r="E95" s="4">
        <v>0</v>
      </c>
      <c r="F95" s="4">
        <v>0</v>
      </c>
      <c r="G95" s="4">
        <v>0</v>
      </c>
      <c r="H95" s="4">
        <v>0</v>
      </c>
      <c r="I95" s="4">
        <v>0</v>
      </c>
      <c r="J95" s="4">
        <v>0</v>
      </c>
      <c r="K95" s="4">
        <v>0</v>
      </c>
      <c r="AC95" s="7"/>
    </row>
    <row r="96" spans="1:29" x14ac:dyDescent="0.25">
      <c r="A96" s="7"/>
      <c r="B96" s="4">
        <v>9.0000000000000011E-3</v>
      </c>
      <c r="C96" s="1" t="s">
        <v>17</v>
      </c>
      <c r="D96" s="4">
        <v>0</v>
      </c>
      <c r="E96" s="4">
        <v>0</v>
      </c>
      <c r="F96" s="4">
        <v>0</v>
      </c>
      <c r="G96" s="4">
        <v>0</v>
      </c>
      <c r="H96" s="4">
        <v>0</v>
      </c>
      <c r="I96" s="4">
        <v>0</v>
      </c>
      <c r="J96" s="4">
        <v>0</v>
      </c>
      <c r="K96" s="4">
        <v>0</v>
      </c>
      <c r="AC96" s="7"/>
    </row>
    <row r="97" spans="1:29" x14ac:dyDescent="0.25">
      <c r="A97" s="7"/>
      <c r="B97" s="4">
        <v>8.1000000000000016E-2</v>
      </c>
      <c r="C97" s="1" t="s">
        <v>18</v>
      </c>
      <c r="D97" s="4">
        <v>0</v>
      </c>
      <c r="E97" s="4">
        <v>0</v>
      </c>
      <c r="F97" s="4">
        <v>0</v>
      </c>
      <c r="G97" s="4">
        <v>0</v>
      </c>
      <c r="H97" s="4">
        <v>0</v>
      </c>
      <c r="I97" s="4">
        <v>0</v>
      </c>
      <c r="J97" s="4">
        <v>0</v>
      </c>
      <c r="K97" s="4">
        <v>0</v>
      </c>
      <c r="AC97" s="7"/>
    </row>
    <row r="98" spans="1:29" x14ac:dyDescent="0.25">
      <c r="A98" s="7"/>
      <c r="B98" s="4">
        <v>8.1000000000000016E-2</v>
      </c>
      <c r="C98" s="1" t="s">
        <v>19</v>
      </c>
      <c r="D98" s="4">
        <v>0</v>
      </c>
      <c r="E98" s="4">
        <v>0</v>
      </c>
      <c r="F98" s="4">
        <v>0</v>
      </c>
      <c r="G98" s="4">
        <v>0</v>
      </c>
      <c r="H98" s="4">
        <v>0</v>
      </c>
      <c r="I98" s="4">
        <v>0</v>
      </c>
      <c r="J98" s="4">
        <v>0</v>
      </c>
      <c r="K98" s="4">
        <v>0</v>
      </c>
      <c r="AC98" s="7"/>
    </row>
    <row r="99" spans="1:29" x14ac:dyDescent="0.25">
      <c r="A99" s="7"/>
      <c r="B99" s="4">
        <v>0.72900000000000009</v>
      </c>
      <c r="C99" s="1" t="s">
        <v>20</v>
      </c>
      <c r="D99" s="4">
        <v>0</v>
      </c>
      <c r="E99" s="4">
        <v>0</v>
      </c>
      <c r="F99" s="4">
        <v>0</v>
      </c>
      <c r="G99" s="4">
        <v>0</v>
      </c>
      <c r="H99" s="4">
        <v>0</v>
      </c>
      <c r="I99" s="4">
        <v>0</v>
      </c>
      <c r="J99" s="4">
        <v>0</v>
      </c>
      <c r="K99" s="4">
        <v>0</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9.5145144795864692E-4</v>
      </c>
      <c r="E103" s="4">
        <v>5.4497063770587518E-4</v>
      </c>
      <c r="F103" s="4">
        <v>5.4801049111950079E-4</v>
      </c>
      <c r="G103" s="4">
        <v>2.4053787039566093E-3</v>
      </c>
      <c r="H103" s="4">
        <v>8.304798731198635E-3</v>
      </c>
      <c r="I103" s="4">
        <v>2.5803570354901812E-3</v>
      </c>
      <c r="J103" s="4">
        <v>2.6077157162128122E-3</v>
      </c>
      <c r="K103" s="4">
        <v>7.2900000084522693E-4</v>
      </c>
      <c r="L103" s="7">
        <v>1.8671682764487486E-2</v>
      </c>
      <c r="AC103" s="7"/>
    </row>
    <row r="104" spans="1:29" x14ac:dyDescent="0.25">
      <c r="A104" s="7"/>
      <c r="C104" s="1" t="s">
        <v>14</v>
      </c>
      <c r="D104" s="4">
        <v>5.4497063770587518E-4</v>
      </c>
      <c r="E104" s="4">
        <v>4.013836584472661E-3</v>
      </c>
      <c r="F104" s="4">
        <v>2.4053787039566093E-3</v>
      </c>
      <c r="G104" s="4">
        <v>2.1367662144929609E-2</v>
      </c>
      <c r="H104" s="4">
        <v>2.5803570354901817E-3</v>
      </c>
      <c r="I104" s="4">
        <v>1.5205120925489686E-2</v>
      </c>
      <c r="J104" s="4">
        <v>7.2900000084522693E-4</v>
      </c>
      <c r="K104" s="4">
        <v>4.0342842914881435E-3</v>
      </c>
      <c r="L104" s="7">
        <v>5.0880610324377996E-2</v>
      </c>
      <c r="T104" s="6"/>
      <c r="AC104" s="7"/>
    </row>
    <row r="105" spans="1:29" x14ac:dyDescent="0.25">
      <c r="A105" s="7"/>
      <c r="C105" s="1" t="s">
        <v>15</v>
      </c>
      <c r="D105" s="4">
        <v>5.4801049111950079E-4</v>
      </c>
      <c r="E105" s="4">
        <v>2.4053787039566093E-3</v>
      </c>
      <c r="F105" s="4">
        <v>4.0415330266856935E-3</v>
      </c>
      <c r="G105" s="4">
        <v>2.1370701998343233E-2</v>
      </c>
      <c r="H105" s="4">
        <v>2.6077157162128117E-3</v>
      </c>
      <c r="I105" s="4">
        <v>7.2900000084522682E-4</v>
      </c>
      <c r="J105" s="4">
        <v>1.5454388905406987E-2</v>
      </c>
      <c r="K105" s="4">
        <v>4.0616429722107744E-3</v>
      </c>
      <c r="L105" s="7">
        <v>5.1218371814780832E-2</v>
      </c>
      <c r="AC105" s="7"/>
    </row>
    <row r="106" spans="1:29" x14ac:dyDescent="0.25">
      <c r="A106" s="7"/>
      <c r="C106" s="1" t="s">
        <v>16</v>
      </c>
      <c r="D106" s="4">
        <v>2.4053787039566093E-3</v>
      </c>
      <c r="E106" s="4">
        <v>2.1367662144929609E-2</v>
      </c>
      <c r="F106" s="4">
        <v>2.1370701998343233E-2</v>
      </c>
      <c r="G106" s="4">
        <v>0.19066930740266377</v>
      </c>
      <c r="H106" s="4">
        <v>7.2900000084522682E-4</v>
      </c>
      <c r="I106" s="4">
        <v>4.0342842914881435E-3</v>
      </c>
      <c r="J106" s="4">
        <v>4.0616429722107744E-3</v>
      </c>
      <c r="K106" s="4">
        <v>2.155169150806896E-2</v>
      </c>
      <c r="L106" s="7">
        <v>0.26618966902250635</v>
      </c>
      <c r="AC106" s="7"/>
    </row>
    <row r="107" spans="1:29" x14ac:dyDescent="0.25">
      <c r="A107" s="7"/>
      <c r="C107" s="1" t="s">
        <v>17</v>
      </c>
      <c r="D107" s="4">
        <v>8.304798731198635E-3</v>
      </c>
      <c r="E107" s="4">
        <v>2.5803570354901821E-3</v>
      </c>
      <c r="F107" s="4">
        <v>2.6077157162128117E-3</v>
      </c>
      <c r="G107" s="4">
        <v>7.2900000084522693E-4</v>
      </c>
      <c r="H107" s="4">
        <v>7.4714492547406683E-2</v>
      </c>
      <c r="I107" s="4">
        <v>2.2964949018982446E-2</v>
      </c>
      <c r="J107" s="4">
        <v>2.3211177145486123E-2</v>
      </c>
      <c r="K107" s="4">
        <v>4.236621303744346E-3</v>
      </c>
      <c r="L107" s="7">
        <v>0.13934911149936646</v>
      </c>
      <c r="AC107" s="7"/>
    </row>
    <row r="108" spans="1:29" x14ac:dyDescent="0.25">
      <c r="A108" s="7"/>
      <c r="C108" s="1" t="s">
        <v>18</v>
      </c>
      <c r="D108" s="4">
        <v>2.5803570354901817E-3</v>
      </c>
      <c r="E108" s="4">
        <v>1.5205120925489687E-2</v>
      </c>
      <c r="F108" s="4">
        <v>7.2900000084522682E-4</v>
      </c>
      <c r="G108" s="4">
        <v>4.0342842914881443E-3</v>
      </c>
      <c r="H108" s="4">
        <v>2.2964949018982449E-2</v>
      </c>
      <c r="I108" s="4">
        <v>0.13452170962554449</v>
      </c>
      <c r="J108" s="4">
        <v>4.2366213037443468E-3</v>
      </c>
      <c r="K108" s="4">
        <v>1.5389150288629036E-2</v>
      </c>
      <c r="L108" s="7">
        <v>0.19966119249021358</v>
      </c>
      <c r="AC108" s="7"/>
    </row>
    <row r="109" spans="1:29" x14ac:dyDescent="0.25">
      <c r="A109" s="7"/>
      <c r="C109" s="1" t="s">
        <v>19</v>
      </c>
      <c r="D109" s="4">
        <v>2.6077157162128113E-3</v>
      </c>
      <c r="E109" s="4">
        <v>7.2900000084522682E-4</v>
      </c>
      <c r="F109" s="4">
        <v>1.5454388905406983E-2</v>
      </c>
      <c r="G109" s="4">
        <v>4.0616429722107735E-3</v>
      </c>
      <c r="H109" s="4">
        <v>2.3211177145486116E-2</v>
      </c>
      <c r="I109" s="4">
        <v>4.236621303744346E-3</v>
      </c>
      <c r="J109" s="4">
        <v>0.13676512144480019</v>
      </c>
      <c r="K109" s="4">
        <v>1.5635378415132711E-2</v>
      </c>
      <c r="L109" s="7">
        <v>0.20270104590383917</v>
      </c>
      <c r="AC109" s="7"/>
    </row>
    <row r="110" spans="1:29" x14ac:dyDescent="0.25">
      <c r="A110" s="7"/>
      <c r="C110" s="1" t="s">
        <v>20</v>
      </c>
      <c r="D110" s="4">
        <v>7.2900000084522682E-4</v>
      </c>
      <c r="E110" s="4">
        <v>4.0342842914881443E-3</v>
      </c>
      <c r="F110" s="4">
        <v>4.0616429722107744E-3</v>
      </c>
      <c r="G110" s="4">
        <v>2.155169150806896E-2</v>
      </c>
      <c r="H110" s="4">
        <v>4.2366213037443468E-3</v>
      </c>
      <c r="I110" s="4">
        <v>1.5389150288629038E-2</v>
      </c>
      <c r="J110" s="4">
        <v>1.5635378415132711E-2</v>
      </c>
      <c r="K110" s="4">
        <v>5.6905485597423082E-3</v>
      </c>
      <c r="L110" s="7">
        <v>7.1328317339861516E-2</v>
      </c>
      <c r="AC110" s="7"/>
    </row>
    <row r="111" spans="1:29" x14ac:dyDescent="0.25">
      <c r="A111" s="7"/>
      <c r="D111" s="3">
        <v>1.8671682764487489E-2</v>
      </c>
      <c r="E111" s="3">
        <v>5.0880610324377996E-2</v>
      </c>
      <c r="F111" s="3">
        <v>5.1218371814780832E-2</v>
      </c>
      <c r="G111" s="3">
        <v>0.26618966902250629</v>
      </c>
      <c r="H111" s="3">
        <v>0.13934911149936646</v>
      </c>
      <c r="I111" s="3">
        <v>0.19966119249021358</v>
      </c>
      <c r="J111" s="3">
        <v>0.20270104590383917</v>
      </c>
      <c r="K111" s="3">
        <v>7.1328317339861516E-2</v>
      </c>
      <c r="L111" s="7">
        <v>1.0000000011594334</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0.61303966723328063</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0.59143740408098777</v>
      </c>
      <c r="R114" t="s">
        <v>58</v>
      </c>
      <c r="W114" s="1" t="s">
        <v>45</v>
      </c>
      <c r="X114" s="7" t="s">
        <v>47</v>
      </c>
      <c r="Y114" s="7" t="s">
        <v>48</v>
      </c>
      <c r="Z114" s="7" t="s">
        <v>49</v>
      </c>
      <c r="AA114" s="7" t="s">
        <v>50</v>
      </c>
      <c r="AB114" s="7"/>
      <c r="AC114" s="7"/>
    </row>
    <row r="115" spans="1:29" x14ac:dyDescent="0.25">
      <c r="A115" s="7"/>
      <c r="C115" s="1" t="s">
        <v>13</v>
      </c>
      <c r="D115" s="5">
        <v>9.5145144795864695E-2</v>
      </c>
      <c r="E115" s="5">
        <v>5.4497063770587516E-2</v>
      </c>
      <c r="F115" s="5">
        <v>5.4801049111950079E-2</v>
      </c>
      <c r="G115" s="5">
        <v>0.24053787039566094</v>
      </c>
      <c r="H115" s="5">
        <v>0.83047987311986349</v>
      </c>
      <c r="I115" s="5">
        <v>0.25803570354901811</v>
      </c>
      <c r="J115" s="5">
        <v>0.26077157162128123</v>
      </c>
      <c r="K115" s="5">
        <v>7.2900000084522687E-2</v>
      </c>
      <c r="L115" s="13">
        <v>1.8671682764487487</v>
      </c>
      <c r="N115" t="s">
        <v>38</v>
      </c>
      <c r="O115" s="8">
        <v>0.58805978917695945</v>
      </c>
      <c r="W115" s="1" t="s">
        <v>13</v>
      </c>
      <c r="X115" s="5">
        <v>1.8671682764487487</v>
      </c>
      <c r="Y115" s="5">
        <v>9.5145144795864695E-2</v>
      </c>
      <c r="Z115" s="5">
        <v>1.7720231316528841</v>
      </c>
      <c r="AA115" s="8">
        <v>9.5145144795864708E-2</v>
      </c>
      <c r="AB115" s="8">
        <v>2.9330007928778636E-2</v>
      </c>
      <c r="AC115" s="7"/>
    </row>
    <row r="116" spans="1:29" x14ac:dyDescent="0.25">
      <c r="A116" s="7"/>
      <c r="C116" s="1" t="s">
        <v>14</v>
      </c>
      <c r="D116" s="5">
        <v>5.4497063770587516E-2</v>
      </c>
      <c r="E116" s="5">
        <v>0.40138365844726609</v>
      </c>
      <c r="F116" s="5">
        <v>0.24053787039566094</v>
      </c>
      <c r="G116" s="5">
        <v>2.1367662144929609</v>
      </c>
      <c r="H116" s="5">
        <v>0.25803570354901817</v>
      </c>
      <c r="I116" s="5">
        <v>1.5205120925489686</v>
      </c>
      <c r="J116" s="5">
        <v>7.2900000084522687E-2</v>
      </c>
      <c r="K116" s="5">
        <v>0.40342842914881433</v>
      </c>
      <c r="L116" s="13">
        <v>5.0880610324377988</v>
      </c>
      <c r="M116" s="10" t="s">
        <v>39</v>
      </c>
      <c r="N116" s="10">
        <v>1</v>
      </c>
      <c r="O116" s="10">
        <v>2</v>
      </c>
      <c r="P116" s="10" t="s">
        <v>39</v>
      </c>
      <c r="Q116" s="10">
        <v>1</v>
      </c>
      <c r="R116" s="10">
        <v>2</v>
      </c>
      <c r="S116" s="10" t="s">
        <v>11</v>
      </c>
      <c r="T116" s="10" t="s">
        <v>42</v>
      </c>
      <c r="U116" s="10" t="s">
        <v>43</v>
      </c>
      <c r="V116" s="10"/>
      <c r="W116" s="1" t="s">
        <v>14</v>
      </c>
      <c r="X116" s="5">
        <v>5.0880610324377988</v>
      </c>
      <c r="Y116" s="5">
        <v>0.40138365844726609</v>
      </c>
      <c r="Z116" s="5">
        <v>4.6866773739905323</v>
      </c>
      <c r="AA116" s="8">
        <v>0.89276560426053919</v>
      </c>
      <c r="AB116" s="8">
        <v>0.10060983044562477</v>
      </c>
      <c r="AC116" s="7"/>
    </row>
    <row r="117" spans="1:29" x14ac:dyDescent="0.25">
      <c r="A117" s="7"/>
      <c r="C117" s="1" t="s">
        <v>15</v>
      </c>
      <c r="D117" s="5">
        <v>5.4801049111950079E-2</v>
      </c>
      <c r="E117" s="5">
        <v>0.24053787039566094</v>
      </c>
      <c r="F117" s="5">
        <v>0.40415330266856936</v>
      </c>
      <c r="G117" s="5">
        <v>2.1370701998343233</v>
      </c>
      <c r="H117" s="5">
        <v>0.26077157162128117</v>
      </c>
      <c r="I117" s="5">
        <v>7.2900000084522687E-2</v>
      </c>
      <c r="J117" s="5">
        <v>1.5454388905406986</v>
      </c>
      <c r="K117" s="5">
        <v>0.40616429722107744</v>
      </c>
      <c r="L117" s="13">
        <v>5.1218371814780834</v>
      </c>
      <c r="M117" s="10">
        <v>1</v>
      </c>
      <c r="N117" s="5">
        <v>29.696033382180367</v>
      </c>
      <c r="O117" s="5">
        <v>9.0000000104348992</v>
      </c>
      <c r="P117" s="10">
        <v>1</v>
      </c>
      <c r="Q117">
        <v>1.6314046488112837E-2</v>
      </c>
      <c r="R117">
        <v>0.44444443929140781</v>
      </c>
      <c r="S117" s="12">
        <v>1.1139097732499055</v>
      </c>
      <c r="T117">
        <v>0.70876637297406764</v>
      </c>
      <c r="U117">
        <v>0.29123362702593236</v>
      </c>
      <c r="W117" s="1" t="s">
        <v>15</v>
      </c>
      <c r="X117" s="5">
        <v>5.1218371814780834</v>
      </c>
      <c r="Y117" s="5">
        <v>0.40415330266856936</v>
      </c>
      <c r="Z117" s="5">
        <v>4.7176838788095141</v>
      </c>
      <c r="AA117" s="8">
        <v>0.40415330266856941</v>
      </c>
      <c r="AB117" s="8">
        <v>1.6894390198979089E-2</v>
      </c>
      <c r="AC117" s="7"/>
    </row>
    <row r="118" spans="1:29" x14ac:dyDescent="0.25">
      <c r="A118" s="7"/>
      <c r="C118" s="1" t="s">
        <v>16</v>
      </c>
      <c r="D118" s="5">
        <v>0.24053787039566094</v>
      </c>
      <c r="E118" s="5">
        <v>2.1367662144929609</v>
      </c>
      <c r="F118" s="5">
        <v>2.1370701998343233</v>
      </c>
      <c r="G118" s="5">
        <v>19.066930740266379</v>
      </c>
      <c r="H118" s="5">
        <v>7.2900000084522687E-2</v>
      </c>
      <c r="I118" s="5">
        <v>0.40342842914881433</v>
      </c>
      <c r="J118" s="5">
        <v>0.40616429722107744</v>
      </c>
      <c r="K118" s="5">
        <v>2.1551691508068958</v>
      </c>
      <c r="L118" s="13">
        <v>26.618966902250637</v>
      </c>
      <c r="M118" s="10">
        <v>2</v>
      </c>
      <c r="N118" s="5">
        <v>9.0000000104348992</v>
      </c>
      <c r="O118" s="5">
        <v>52.303966712893164</v>
      </c>
      <c r="P118" s="10">
        <v>2</v>
      </c>
      <c r="Q118">
        <v>0.44444443929140781</v>
      </c>
      <c r="R118">
        <v>0.208706848178977</v>
      </c>
      <c r="W118" s="1" t="s">
        <v>16</v>
      </c>
      <c r="X118" s="5">
        <v>26.618966902250637</v>
      </c>
      <c r="Y118" s="5">
        <v>19.066930740266379</v>
      </c>
      <c r="Z118" s="5">
        <v>7.5520361619842582</v>
      </c>
      <c r="AA118" s="8">
        <v>4.5661163577902855E-2</v>
      </c>
      <c r="AB118" s="8">
        <v>2.657185371806646E-2</v>
      </c>
      <c r="AC118" s="7"/>
    </row>
    <row r="119" spans="1:29" x14ac:dyDescent="0.25">
      <c r="A119" s="7"/>
      <c r="C119" s="1" t="s">
        <v>17</v>
      </c>
      <c r="D119" s="5">
        <v>0.83047987311986349</v>
      </c>
      <c r="E119" s="5">
        <v>0.25803570354901822</v>
      </c>
      <c r="F119" s="5">
        <v>0.26077157162128117</v>
      </c>
      <c r="G119" s="5">
        <v>7.2900000084522687E-2</v>
      </c>
      <c r="H119" s="5">
        <v>7.4714492547406683</v>
      </c>
      <c r="I119" s="5">
        <v>2.2964949018982446</v>
      </c>
      <c r="J119" s="5">
        <v>2.3211177145486124</v>
      </c>
      <c r="K119" s="5">
        <v>0.42366213037443462</v>
      </c>
      <c r="L119" s="13">
        <v>13.934911149936646</v>
      </c>
      <c r="M119" s="10" t="s">
        <v>40</v>
      </c>
      <c r="N119" s="10">
        <v>1</v>
      </c>
      <c r="O119" s="10">
        <v>2</v>
      </c>
      <c r="P119" s="10" t="s">
        <v>40</v>
      </c>
      <c r="Q119" s="10">
        <v>1</v>
      </c>
      <c r="R119" s="10">
        <v>2</v>
      </c>
      <c r="S119" s="10" t="s">
        <v>11</v>
      </c>
      <c r="T119" s="10" t="s">
        <v>42</v>
      </c>
      <c r="U119" s="10" t="s">
        <v>43</v>
      </c>
      <c r="W119" s="1" t="s">
        <v>17</v>
      </c>
      <c r="X119" s="5">
        <v>13.934911149936646</v>
      </c>
      <c r="Y119" s="5">
        <v>7.4714492547406683</v>
      </c>
      <c r="Z119" s="5">
        <v>6.4634618951959775</v>
      </c>
      <c r="AA119" s="8">
        <v>2.9748498881191465E-2</v>
      </c>
      <c r="AB119" s="8">
        <v>3.3232489303959049E-2</v>
      </c>
      <c r="AC119" s="7"/>
    </row>
    <row r="120" spans="1:29" x14ac:dyDescent="0.25">
      <c r="A120" s="7"/>
      <c r="C120" s="1" t="s">
        <v>18</v>
      </c>
      <c r="D120" s="5">
        <v>0.25803570354901817</v>
      </c>
      <c r="E120" s="5">
        <v>1.5205120925489688</v>
      </c>
      <c r="F120" s="5">
        <v>7.2900000084522687E-2</v>
      </c>
      <c r="G120" s="5">
        <v>0.40342842914881444</v>
      </c>
      <c r="H120" s="5">
        <v>2.296494901898245</v>
      </c>
      <c r="I120" s="5">
        <v>13.452170962554449</v>
      </c>
      <c r="J120" s="5">
        <v>0.42366213037443468</v>
      </c>
      <c r="K120" s="5">
        <v>1.5389150288629037</v>
      </c>
      <c r="L120" s="13">
        <v>19.966119249021357</v>
      </c>
      <c r="M120" s="10">
        <v>1</v>
      </c>
      <c r="N120" s="5">
        <v>31.856259697409648</v>
      </c>
      <c r="O120" s="5">
        <v>9.0000000104349009</v>
      </c>
      <c r="P120" s="10">
        <v>1</v>
      </c>
      <c r="Q120">
        <v>2.3015277887996358E-2</v>
      </c>
      <c r="R120">
        <v>1.2098573063414156E-17</v>
      </c>
      <c r="S120" s="12">
        <v>3.7636853797139415E-2</v>
      </c>
      <c r="T120">
        <v>0.15382584110732844</v>
      </c>
      <c r="U120">
        <v>0.84617415889267156</v>
      </c>
      <c r="W120" s="1" t="s">
        <v>18</v>
      </c>
      <c r="X120" s="5">
        <v>19.966119249021357</v>
      </c>
      <c r="Y120" s="5">
        <v>13.452170962554449</v>
      </c>
      <c r="Z120" s="5">
        <v>6.513948286466908</v>
      </c>
      <c r="AA120" s="8">
        <v>1.5198928109563085E-2</v>
      </c>
      <c r="AB120" s="8">
        <v>3.6267753110547363E-2</v>
      </c>
      <c r="AC120" s="7"/>
    </row>
    <row r="121" spans="1:29" x14ac:dyDescent="0.25">
      <c r="A121" s="7"/>
      <c r="C121" s="1" t="s">
        <v>19</v>
      </c>
      <c r="D121" s="5">
        <v>0.26077157162128112</v>
      </c>
      <c r="E121" s="5">
        <v>7.2900000084522687E-2</v>
      </c>
      <c r="F121" s="5">
        <v>1.5454388905406984</v>
      </c>
      <c r="G121" s="5">
        <v>0.40616429722107733</v>
      </c>
      <c r="H121" s="5">
        <v>2.3211177145486115</v>
      </c>
      <c r="I121" s="5">
        <v>0.42366213037443462</v>
      </c>
      <c r="J121" s="5">
        <v>13.676512144480018</v>
      </c>
      <c r="K121" s="5">
        <v>1.5635378415132712</v>
      </c>
      <c r="L121" s="13">
        <v>20.270104590383912</v>
      </c>
      <c r="M121" s="10">
        <v>2</v>
      </c>
      <c r="N121" s="5">
        <v>9.0000000104348992</v>
      </c>
      <c r="O121" s="5">
        <v>50.143740397663883</v>
      </c>
      <c r="P121" s="10">
        <v>2</v>
      </c>
      <c r="Q121">
        <v>1.209856894427948E-17</v>
      </c>
      <c r="R121">
        <v>1.4621575909143035E-2</v>
      </c>
      <c r="W121" s="1" t="s">
        <v>19</v>
      </c>
      <c r="X121" s="5">
        <v>20.270104590383912</v>
      </c>
      <c r="Y121" s="5">
        <v>13.676512144480018</v>
      </c>
      <c r="Z121" s="5">
        <v>6.5935924459038944</v>
      </c>
      <c r="AA121" s="8">
        <v>3.3463844933130302E-2</v>
      </c>
      <c r="AB121" s="8">
        <v>2.5049637414120883E-2</v>
      </c>
      <c r="AC121" s="7"/>
    </row>
    <row r="122" spans="1:29" x14ac:dyDescent="0.25">
      <c r="A122" s="7"/>
      <c r="C122" s="1" t="s">
        <v>20</v>
      </c>
      <c r="D122" s="5">
        <v>7.2900000084522687E-2</v>
      </c>
      <c r="E122" s="5">
        <v>0.40342842914881444</v>
      </c>
      <c r="F122" s="5">
        <v>0.40616429722107744</v>
      </c>
      <c r="G122" s="5">
        <v>2.1551691508068958</v>
      </c>
      <c r="H122" s="5">
        <v>0.42366213037443468</v>
      </c>
      <c r="I122" s="5">
        <v>1.5389150288629039</v>
      </c>
      <c r="J122" s="5">
        <v>1.5635378415132712</v>
      </c>
      <c r="K122" s="5">
        <v>0.56905485597423078</v>
      </c>
      <c r="L122" s="13">
        <v>7.1328317339861504</v>
      </c>
      <c r="M122" s="10" t="s">
        <v>41</v>
      </c>
      <c r="N122" s="10">
        <v>1</v>
      </c>
      <c r="O122" s="10">
        <v>2</v>
      </c>
      <c r="P122" s="10" t="s">
        <v>41</v>
      </c>
      <c r="Q122" s="10">
        <v>1</v>
      </c>
      <c r="R122" s="10">
        <v>2</v>
      </c>
      <c r="S122" s="10" t="s">
        <v>11</v>
      </c>
      <c r="T122" s="10" t="s">
        <v>42</v>
      </c>
      <c r="U122" s="10" t="s">
        <v>43</v>
      </c>
      <c r="W122" s="1" t="s">
        <v>20</v>
      </c>
      <c r="X122" s="5">
        <v>7.1328317339861504</v>
      </c>
      <c r="Y122" s="5">
        <v>0.56905485597423078</v>
      </c>
      <c r="Z122" s="5">
        <v>6.5637768780119199</v>
      </c>
      <c r="AA122" s="8">
        <v>0.32635468304974957</v>
      </c>
      <c r="AB122" s="8">
        <v>4.8424005582154706E-2</v>
      </c>
      <c r="AC122" s="7"/>
    </row>
    <row r="123" spans="1:29" x14ac:dyDescent="0.25">
      <c r="A123" s="7"/>
      <c r="D123" s="13">
        <v>1.8671682764487487</v>
      </c>
      <c r="E123" s="13">
        <v>5.0880610324377988</v>
      </c>
      <c r="F123" s="13">
        <v>5.1218371814780834</v>
      </c>
      <c r="G123" s="13">
        <v>26.618966902250637</v>
      </c>
      <c r="H123" s="13">
        <v>13.934911149936644</v>
      </c>
      <c r="I123" s="13">
        <v>19.966119249021357</v>
      </c>
      <c r="J123" s="13">
        <v>20.270104590383916</v>
      </c>
      <c r="K123" s="13">
        <v>7.1328317339861504</v>
      </c>
      <c r="L123" s="1">
        <v>100.00000011594334</v>
      </c>
      <c r="M123" s="10">
        <v>1</v>
      </c>
      <c r="N123" s="5">
        <v>32.194021187812496</v>
      </c>
      <c r="O123" s="5">
        <v>9.0000000104349009</v>
      </c>
      <c r="P123" s="10">
        <v>1</v>
      </c>
      <c r="Q123">
        <v>0.14952245152874719</v>
      </c>
      <c r="R123">
        <v>0.11111110866341831</v>
      </c>
      <c r="S123" s="12">
        <v>0.28925836390418908</v>
      </c>
      <c r="T123">
        <v>0.40930381951098427</v>
      </c>
      <c r="U123">
        <v>0.59069618048901573</v>
      </c>
      <c r="W123" s="1" t="s">
        <v>59</v>
      </c>
      <c r="X123" s="7">
        <v>100.00000011594334</v>
      </c>
      <c r="Y123" s="7">
        <v>55.136800063927438</v>
      </c>
      <c r="Z123" s="7">
        <v>44.863200052015891</v>
      </c>
      <c r="AA123" s="7">
        <v>1.8424911702765105</v>
      </c>
      <c r="AB123" s="7">
        <v>0.31637996770223092</v>
      </c>
      <c r="AC123" s="11">
        <v>2.1588711379787413</v>
      </c>
    </row>
    <row r="124" spans="1:29" x14ac:dyDescent="0.25">
      <c r="A124" s="7"/>
      <c r="M124" s="10">
        <v>2</v>
      </c>
      <c r="N124" s="5">
        <v>9.0000000104349009</v>
      </c>
      <c r="O124" s="5">
        <v>49.805978907261043</v>
      </c>
      <c r="P124" s="10">
        <v>2</v>
      </c>
      <c r="Q124">
        <v>1.2098573063414156E-17</v>
      </c>
      <c r="R124">
        <v>2.8624803712023566E-2</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0</v>
      </c>
      <c r="E127" s="8">
        <v>0</v>
      </c>
      <c r="F127" s="8">
        <v>0</v>
      </c>
      <c r="G127" s="8">
        <v>0</v>
      </c>
      <c r="H127" s="8">
        <v>0.18575158487643881</v>
      </c>
      <c r="I127" s="8">
        <v>1.3546573177860504</v>
      </c>
      <c r="J127" s="8">
        <v>0</v>
      </c>
      <c r="K127" s="8">
        <v>0</v>
      </c>
      <c r="L127" s="14">
        <v>1.5404089026624892</v>
      </c>
      <c r="AC127" s="7"/>
    </row>
    <row r="128" spans="1:29" x14ac:dyDescent="0.25">
      <c r="A128" s="7"/>
      <c r="C128" s="1" t="s">
        <v>14</v>
      </c>
      <c r="D128" s="8">
        <v>0</v>
      </c>
      <c r="E128" s="8">
        <v>0.91283755484059337</v>
      </c>
      <c r="F128" s="8">
        <v>0</v>
      </c>
      <c r="G128" s="8">
        <v>-0.13229278173109474</v>
      </c>
      <c r="H128" s="8">
        <v>0</v>
      </c>
      <c r="I128" s="8">
        <v>-0.41904718111185763</v>
      </c>
      <c r="J128" s="8">
        <v>2.6186666388080915</v>
      </c>
      <c r="K128" s="8">
        <v>0</v>
      </c>
      <c r="L128" s="14">
        <v>2.9801642308057326</v>
      </c>
      <c r="AC128" s="7"/>
    </row>
    <row r="129" spans="1:29" x14ac:dyDescent="0.25">
      <c r="A129" s="7"/>
      <c r="C129" s="1" t="s">
        <v>15</v>
      </c>
      <c r="D129" s="8">
        <v>0</v>
      </c>
      <c r="E129" s="8">
        <v>0</v>
      </c>
      <c r="F129" s="8">
        <v>0</v>
      </c>
      <c r="G129" s="8">
        <v>-0.13257728989884415</v>
      </c>
      <c r="H129" s="8">
        <v>1.344110459390691</v>
      </c>
      <c r="I129" s="8">
        <v>0</v>
      </c>
      <c r="J129" s="8">
        <v>-0.43530794155640401</v>
      </c>
      <c r="K129" s="8">
        <v>0.90099752828010415</v>
      </c>
      <c r="L129" s="14">
        <v>1.6772227562155468</v>
      </c>
      <c r="AC129" s="7"/>
    </row>
    <row r="130" spans="1:29" x14ac:dyDescent="0.25">
      <c r="A130" s="7"/>
      <c r="C130" s="1" t="s">
        <v>16</v>
      </c>
      <c r="D130" s="8">
        <v>0</v>
      </c>
      <c r="E130" s="8">
        <v>-0.13229278173109474</v>
      </c>
      <c r="F130" s="8">
        <v>-0.13257728989884415</v>
      </c>
      <c r="G130" s="8">
        <v>0.95553627836576061</v>
      </c>
      <c r="H130" s="8">
        <v>0</v>
      </c>
      <c r="I130" s="8">
        <v>0.90775618210083164</v>
      </c>
      <c r="J130" s="8">
        <v>0.90099752828010415</v>
      </c>
      <c r="K130" s="8">
        <v>-0.14944406433837984</v>
      </c>
      <c r="L130" s="14">
        <v>2.3499758527783774</v>
      </c>
      <c r="AC130" s="7"/>
    </row>
    <row r="131" spans="1:29" x14ac:dyDescent="0.25">
      <c r="A131" s="7"/>
      <c r="C131" s="1" t="s">
        <v>17</v>
      </c>
      <c r="D131" s="8">
        <v>0.18575158487643881</v>
      </c>
      <c r="E131" s="8">
        <v>0</v>
      </c>
      <c r="F131" s="8">
        <v>0</v>
      </c>
      <c r="G131" s="8">
        <v>0</v>
      </c>
      <c r="H131" s="8">
        <v>-0.45625188894144691</v>
      </c>
      <c r="I131" s="8">
        <v>-0.27647364855429046</v>
      </c>
      <c r="J131" s="8">
        <v>-0.29780332523001646</v>
      </c>
      <c r="K131" s="8">
        <v>0.85881900373817532</v>
      </c>
      <c r="L131" s="14">
        <v>1.4041725888860324E-2</v>
      </c>
      <c r="AC131" s="7"/>
    </row>
    <row r="132" spans="1:29" x14ac:dyDescent="0.25">
      <c r="A132" s="7"/>
      <c r="C132" s="1" t="s">
        <v>18</v>
      </c>
      <c r="D132" s="8">
        <v>0</v>
      </c>
      <c r="E132" s="8">
        <v>0.5481999988961751</v>
      </c>
      <c r="F132" s="8">
        <v>0</v>
      </c>
      <c r="G132" s="8">
        <v>0.90775618210083131</v>
      </c>
      <c r="H132" s="8">
        <v>-0.27647364855429069</v>
      </c>
      <c r="I132" s="8">
        <v>-0.44448489041439093</v>
      </c>
      <c r="J132" s="8">
        <v>0</v>
      </c>
      <c r="K132" s="8">
        <v>0.52413907828475892</v>
      </c>
      <c r="L132" s="14">
        <v>1.2591367203130837</v>
      </c>
      <c r="AC132" s="7"/>
    </row>
    <row r="133" spans="1:29" x14ac:dyDescent="0.25">
      <c r="A133" s="7"/>
      <c r="C133" s="1" t="s">
        <v>19</v>
      </c>
      <c r="D133" s="8">
        <v>1.3441104593906912</v>
      </c>
      <c r="E133" s="8">
        <v>0</v>
      </c>
      <c r="F133" s="8">
        <v>0.51567847800708255</v>
      </c>
      <c r="G133" s="8">
        <v>0.90099752828010438</v>
      </c>
      <c r="H133" s="8">
        <v>-0.84204884317495321</v>
      </c>
      <c r="I133" s="8">
        <v>0.85881900373817532</v>
      </c>
      <c r="J133" s="8">
        <v>-0.65949730634009951</v>
      </c>
      <c r="K133" s="8">
        <v>-0.44695110070139255</v>
      </c>
      <c r="L133" s="14">
        <v>1.6711082191996085</v>
      </c>
      <c r="AC133" s="7"/>
    </row>
    <row r="134" spans="1:29" x14ac:dyDescent="0.25">
      <c r="A134" s="7"/>
      <c r="C134" s="1" t="s">
        <v>20</v>
      </c>
      <c r="D134" s="8">
        <v>0</v>
      </c>
      <c r="E134" s="8">
        <v>0</v>
      </c>
      <c r="F134" s="8">
        <v>0.90099752828010415</v>
      </c>
      <c r="G134" s="8">
        <v>-0.14944406433837984</v>
      </c>
      <c r="H134" s="8">
        <v>0.8588190037381751</v>
      </c>
      <c r="I134" s="8">
        <v>-0.43107764141756599</v>
      </c>
      <c r="J134" s="8">
        <v>-0.44695110070139255</v>
      </c>
      <c r="K134" s="8">
        <v>0.56377844181515258</v>
      </c>
      <c r="L134" s="14">
        <v>1.2961221673760934</v>
      </c>
      <c r="AC134" s="7"/>
    </row>
    <row r="135" spans="1:29" x14ac:dyDescent="0.25">
      <c r="A135" s="7"/>
      <c r="D135" s="14">
        <v>1.52986204426713</v>
      </c>
      <c r="E135" s="14">
        <v>1.3287447720056738</v>
      </c>
      <c r="F135" s="14">
        <v>1.2840987163883426</v>
      </c>
      <c r="G135" s="14">
        <v>2.3499758527783774</v>
      </c>
      <c r="H135" s="14">
        <v>0.81390666733461414</v>
      </c>
      <c r="I135" s="14">
        <v>1.5501491421269522</v>
      </c>
      <c r="J135" s="14">
        <v>1.6801044932602838</v>
      </c>
      <c r="K135" s="14">
        <v>2.2513388870784188</v>
      </c>
      <c r="L135" s="2">
        <v>25.576361150479585</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9.5145144795864708E-2</v>
      </c>
      <c r="E140" s="8">
        <v>5.4497063770587509E-2</v>
      </c>
      <c r="F140" s="8">
        <v>5.4801049111950086E-2</v>
      </c>
      <c r="G140" s="8">
        <v>0.24053787039566094</v>
      </c>
      <c r="H140" s="8">
        <v>3.4602973952277766E-2</v>
      </c>
      <c r="I140" s="8">
        <v>2.1334683907547771</v>
      </c>
      <c r="J140" s="8">
        <v>0.26077157162128123</v>
      </c>
      <c r="K140" s="8">
        <v>7.2900000084522687E-2</v>
      </c>
      <c r="L140" s="15">
        <v>2.9467240644869217</v>
      </c>
      <c r="AC140" s="7"/>
    </row>
    <row r="141" spans="1:29" x14ac:dyDescent="0.25">
      <c r="A141" s="7"/>
      <c r="C141" s="1" t="s">
        <v>14</v>
      </c>
      <c r="D141" s="8">
        <v>5.4497063770587509E-2</v>
      </c>
      <c r="E141" s="8">
        <v>0.89276560426053919</v>
      </c>
      <c r="F141" s="8">
        <v>0.24053787039566094</v>
      </c>
      <c r="G141" s="8">
        <v>8.7538811217927961E-3</v>
      </c>
      <c r="H141" s="8">
        <v>0.25803570354901817</v>
      </c>
      <c r="I141" s="8">
        <v>0.17818525733361146</v>
      </c>
      <c r="J141" s="8">
        <v>11.79032110900862</v>
      </c>
      <c r="K141" s="8">
        <v>0.40342842914881433</v>
      </c>
      <c r="L141" s="15">
        <v>13.826524918588644</v>
      </c>
      <c r="AC141" s="7"/>
    </row>
    <row r="142" spans="1:29" x14ac:dyDescent="0.25">
      <c r="A142" s="7"/>
      <c r="C142" s="1" t="s">
        <v>15</v>
      </c>
      <c r="D142" s="8">
        <v>5.4801049111950086E-2</v>
      </c>
      <c r="E142" s="8">
        <v>0.24053787039566094</v>
      </c>
      <c r="F142" s="8">
        <v>0.40415330266856941</v>
      </c>
      <c r="G142" s="8">
        <v>8.7915875126974748E-3</v>
      </c>
      <c r="H142" s="8">
        <v>2.0955454075220019</v>
      </c>
      <c r="I142" s="8">
        <v>7.2900000084522687E-2</v>
      </c>
      <c r="J142" s="8">
        <v>0.1925042686160055</v>
      </c>
      <c r="K142" s="8">
        <v>0.86822215617586018</v>
      </c>
      <c r="L142" s="15">
        <v>3.9374556420872682</v>
      </c>
      <c r="AC142" s="7"/>
    </row>
    <row r="143" spans="1:29" x14ac:dyDescent="0.25">
      <c r="A143" s="7"/>
      <c r="C143" s="1" t="s">
        <v>16</v>
      </c>
      <c r="D143" s="8">
        <v>0.24053787039566094</v>
      </c>
      <c r="E143" s="8">
        <v>8.7538811217927961E-3</v>
      </c>
      <c r="F143" s="8">
        <v>8.7915875126974748E-3</v>
      </c>
      <c r="G143" s="8">
        <v>4.5661163577902855E-2</v>
      </c>
      <c r="H143" s="8">
        <v>7.2900000084522687E-2</v>
      </c>
      <c r="I143" s="8">
        <v>0.88218284442361328</v>
      </c>
      <c r="J143" s="8">
        <v>0.86822215617586018</v>
      </c>
      <c r="K143" s="8">
        <v>1.1171960842664506E-2</v>
      </c>
      <c r="L143" s="15">
        <v>2.1382214641347148</v>
      </c>
      <c r="AC143" s="7"/>
    </row>
    <row r="144" spans="1:29" x14ac:dyDescent="0.25">
      <c r="A144" s="7"/>
      <c r="C144" s="1" t="s">
        <v>17</v>
      </c>
      <c r="D144" s="8">
        <v>3.4602973952277766E-2</v>
      </c>
      <c r="E144" s="8">
        <v>0.25803570354901822</v>
      </c>
      <c r="F144" s="8">
        <v>0.26077157162128117</v>
      </c>
      <c r="G144" s="8">
        <v>7.2900000084522687E-2</v>
      </c>
      <c r="H144" s="8">
        <v>2.9748498881191465E-2</v>
      </c>
      <c r="I144" s="8">
        <v>3.8279739606208299E-2</v>
      </c>
      <c r="J144" s="8">
        <v>4.4425401585880868E-2</v>
      </c>
      <c r="K144" s="8">
        <v>0.78403358749805174</v>
      </c>
      <c r="L144" s="15">
        <v>1.5227974767784322</v>
      </c>
      <c r="AC144" s="7"/>
    </row>
    <row r="145" spans="1:29" x14ac:dyDescent="0.25">
      <c r="A145" s="7"/>
      <c r="C145" s="1" t="s">
        <v>18</v>
      </c>
      <c r="D145" s="8">
        <v>0.25803570354901817</v>
      </c>
      <c r="E145" s="8">
        <v>0.15120475168754</v>
      </c>
      <c r="F145" s="8">
        <v>7.2900000084522687E-2</v>
      </c>
      <c r="G145" s="8">
        <v>0.88218284442361306</v>
      </c>
      <c r="H145" s="8">
        <v>3.8279739606208403E-2</v>
      </c>
      <c r="I145" s="8">
        <v>1.5198928109563085E-2</v>
      </c>
      <c r="J145" s="8">
        <v>0.42366213037443468</v>
      </c>
      <c r="K145" s="8">
        <v>0.138148855928443</v>
      </c>
      <c r="L145" s="15">
        <v>1.9796129537633429</v>
      </c>
      <c r="AC145" s="7"/>
    </row>
    <row r="146" spans="1:29" x14ac:dyDescent="0.25">
      <c r="A146" s="7"/>
      <c r="C146" s="1" t="s">
        <v>19</v>
      </c>
      <c r="D146" s="8">
        <v>2.0955454075220032</v>
      </c>
      <c r="E146" s="8">
        <v>7.2900000084522687E-2</v>
      </c>
      <c r="F146" s="8">
        <v>0.13370040284192641</v>
      </c>
      <c r="G146" s="8">
        <v>0.86822215617586107</v>
      </c>
      <c r="H146" s="8">
        <v>0.75194463630792874</v>
      </c>
      <c r="I146" s="8">
        <v>0.78403358749805174</v>
      </c>
      <c r="J146" s="8">
        <v>3.3463844933130302E-2</v>
      </c>
      <c r="K146" s="8">
        <v>0.20311302380124791</v>
      </c>
      <c r="L146" s="15">
        <v>4.9429230591646727</v>
      </c>
      <c r="AC146" s="7"/>
    </row>
    <row r="147" spans="1:29" x14ac:dyDescent="0.25">
      <c r="A147" s="7"/>
      <c r="C147" s="1" t="s">
        <v>20</v>
      </c>
      <c r="D147" s="8">
        <v>7.2900000084522687E-2</v>
      </c>
      <c r="E147" s="8">
        <v>0.40342842914881444</v>
      </c>
      <c r="F147" s="8">
        <v>0.86822215617586018</v>
      </c>
      <c r="G147" s="8">
        <v>1.1171960842664506E-2</v>
      </c>
      <c r="H147" s="8">
        <v>0.78403358749805119</v>
      </c>
      <c r="I147" s="8">
        <v>0.18872348562928862</v>
      </c>
      <c r="J147" s="8">
        <v>0.20311302380124791</v>
      </c>
      <c r="K147" s="8">
        <v>0.32635468304974957</v>
      </c>
      <c r="L147" s="15">
        <v>2.8579473262301991</v>
      </c>
      <c r="N147">
        <v>2.0622014219643457E-2</v>
      </c>
      <c r="AC147" s="7"/>
    </row>
    <row r="148" spans="1:29" x14ac:dyDescent="0.25">
      <c r="A148" s="7"/>
      <c r="B148" s="7"/>
      <c r="C148" s="7"/>
      <c r="D148" s="15">
        <v>2.9060652131818849</v>
      </c>
      <c r="E148" s="15">
        <v>2.0821233040184759</v>
      </c>
      <c r="F148" s="15">
        <v>2.0438779404124685</v>
      </c>
      <c r="G148" s="15">
        <v>2.1382214641347153</v>
      </c>
      <c r="H148" s="15">
        <v>4.0650905474012005</v>
      </c>
      <c r="I148" s="15">
        <v>4.2929722334396363</v>
      </c>
      <c r="J148" s="15">
        <v>13.816483506116462</v>
      </c>
      <c r="K148" s="15">
        <v>2.8073726965293537</v>
      </c>
      <c r="L148" s="16">
        <v>34.152206905234195</v>
      </c>
      <c r="M148" t="s">
        <v>11</v>
      </c>
      <c r="N148" s="7">
        <v>0.97937798578035651</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workbookViewId="0">
      <selection activeCell="N18" sqref="N18"/>
    </sheetView>
  </sheetViews>
  <sheetFormatPr defaultRowHeight="15" x14ac:dyDescent="0.25"/>
  <cols>
    <col min="29" max="29" width="7.5703125" customWidth="1"/>
  </cols>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0.11157385539279786</v>
      </c>
      <c r="B2" s="19">
        <v>0.11157385533768613</v>
      </c>
      <c r="C2" s="19">
        <v>9.0977690231422853E-2</v>
      </c>
      <c r="D2" s="19">
        <v>0.37831184106356008</v>
      </c>
      <c r="E2" s="19">
        <v>0</v>
      </c>
      <c r="F2" s="19">
        <v>0</v>
      </c>
      <c r="G2" s="19">
        <v>0</v>
      </c>
      <c r="H2" s="19">
        <v>0</v>
      </c>
      <c r="I2" s="19">
        <v>0</v>
      </c>
      <c r="J2" s="19">
        <v>0</v>
      </c>
      <c r="K2" s="19">
        <v>0.62168815890036366</v>
      </c>
      <c r="L2" s="1">
        <v>0.99999999996392375</v>
      </c>
      <c r="N2" t="s">
        <v>36</v>
      </c>
      <c r="O2" s="4">
        <v>0.6</v>
      </c>
      <c r="P2" s="4">
        <v>0.6</v>
      </c>
      <c r="AC2" s="7"/>
    </row>
    <row r="3" spans="1:29" x14ac:dyDescent="0.25">
      <c r="A3" t="s">
        <v>79</v>
      </c>
      <c r="B3" s="21">
        <v>3.2861688538942539</v>
      </c>
      <c r="C3" s="18" t="s">
        <v>12</v>
      </c>
      <c r="D3" s="1" t="s">
        <v>13</v>
      </c>
      <c r="E3" s="1" t="s">
        <v>14</v>
      </c>
      <c r="F3" s="1" t="s">
        <v>15</v>
      </c>
      <c r="G3" s="1" t="s">
        <v>16</v>
      </c>
      <c r="H3" s="1" t="s">
        <v>17</v>
      </c>
      <c r="I3" s="1" t="s">
        <v>18</v>
      </c>
      <c r="J3" s="1" t="s">
        <v>19</v>
      </c>
      <c r="K3" s="1" t="s">
        <v>20</v>
      </c>
      <c r="L3" s="1"/>
      <c r="N3" t="s">
        <v>37</v>
      </c>
      <c r="O3" s="4">
        <v>0.6</v>
      </c>
      <c r="P3" s="4">
        <v>0.6</v>
      </c>
      <c r="Q3" t="s">
        <v>55</v>
      </c>
      <c r="Y3" s="1" t="s">
        <v>12</v>
      </c>
      <c r="Z3" t="s">
        <v>47</v>
      </c>
      <c r="AA3" t="s">
        <v>48</v>
      </c>
      <c r="AB3" t="s">
        <v>49</v>
      </c>
      <c r="AC3" s="7"/>
    </row>
    <row r="4" spans="1:29" x14ac:dyDescent="0.25">
      <c r="A4" t="s">
        <v>21</v>
      </c>
      <c r="B4">
        <v>1</v>
      </c>
      <c r="C4" s="1" t="s">
        <v>13</v>
      </c>
      <c r="D4">
        <v>20</v>
      </c>
      <c r="E4">
        <v>2</v>
      </c>
      <c r="F4">
        <v>2</v>
      </c>
      <c r="G4">
        <v>0</v>
      </c>
      <c r="H4">
        <v>2</v>
      </c>
      <c r="I4">
        <v>0</v>
      </c>
      <c r="J4">
        <v>1</v>
      </c>
      <c r="K4">
        <v>0</v>
      </c>
      <c r="L4" s="1">
        <v>27</v>
      </c>
      <c r="N4" t="s">
        <v>38</v>
      </c>
      <c r="O4" s="4">
        <v>0.6</v>
      </c>
      <c r="P4" s="4">
        <v>0.6</v>
      </c>
      <c r="Q4" t="s">
        <v>56</v>
      </c>
      <c r="T4" t="s">
        <v>44</v>
      </c>
      <c r="V4" t="s">
        <v>57</v>
      </c>
      <c r="Y4" s="1" t="s">
        <v>13</v>
      </c>
      <c r="Z4">
        <v>27</v>
      </c>
      <c r="AA4">
        <v>20</v>
      </c>
      <c r="AB4">
        <v>7</v>
      </c>
      <c r="AC4" s="7"/>
    </row>
    <row r="5" spans="1:29" x14ac:dyDescent="0.25">
      <c r="C5" s="1" t="s">
        <v>14</v>
      </c>
      <c r="D5">
        <v>2</v>
      </c>
      <c r="E5">
        <v>0</v>
      </c>
      <c r="F5">
        <v>0</v>
      </c>
      <c r="G5">
        <v>0</v>
      </c>
      <c r="H5">
        <v>1</v>
      </c>
      <c r="I5">
        <v>0</v>
      </c>
      <c r="J5">
        <v>1</v>
      </c>
      <c r="K5">
        <v>0</v>
      </c>
      <c r="L5" s="1">
        <v>4</v>
      </c>
      <c r="M5" s="10" t="s">
        <v>39</v>
      </c>
      <c r="N5" s="10">
        <v>1</v>
      </c>
      <c r="O5" s="10">
        <v>2</v>
      </c>
      <c r="P5" s="10" t="s">
        <v>39</v>
      </c>
      <c r="Q5" s="10">
        <v>1</v>
      </c>
      <c r="R5" s="10">
        <v>2</v>
      </c>
      <c r="S5" s="10" t="s">
        <v>39</v>
      </c>
      <c r="T5" s="10">
        <v>1</v>
      </c>
      <c r="U5" s="10">
        <v>2</v>
      </c>
      <c r="V5" s="10" t="s">
        <v>11</v>
      </c>
      <c r="W5" t="s">
        <v>42</v>
      </c>
      <c r="X5" t="s">
        <v>43</v>
      </c>
      <c r="Y5" s="1" t="s">
        <v>14</v>
      </c>
      <c r="Z5">
        <v>4</v>
      </c>
      <c r="AA5">
        <v>0</v>
      </c>
      <c r="AB5">
        <v>4</v>
      </c>
      <c r="AC5" s="7"/>
    </row>
    <row r="6" spans="1:29" x14ac:dyDescent="0.25">
      <c r="A6" t="s">
        <v>22</v>
      </c>
      <c r="B6" s="20">
        <v>0.11157385539279786</v>
      </c>
      <c r="C6" s="1" t="s">
        <v>15</v>
      </c>
      <c r="D6">
        <v>2</v>
      </c>
      <c r="E6">
        <v>1</v>
      </c>
      <c r="F6">
        <v>0</v>
      </c>
      <c r="G6">
        <v>0</v>
      </c>
      <c r="H6">
        <v>0</v>
      </c>
      <c r="I6">
        <v>0</v>
      </c>
      <c r="J6">
        <v>0</v>
      </c>
      <c r="K6">
        <v>1</v>
      </c>
      <c r="L6" s="1">
        <v>4</v>
      </c>
      <c r="M6" s="10">
        <v>1</v>
      </c>
      <c r="N6">
        <v>30</v>
      </c>
      <c r="O6">
        <v>10</v>
      </c>
      <c r="P6" s="10">
        <v>1</v>
      </c>
      <c r="Q6">
        <v>16</v>
      </c>
      <c r="R6">
        <v>24</v>
      </c>
      <c r="S6" s="10">
        <v>1</v>
      </c>
      <c r="T6">
        <v>12.25</v>
      </c>
      <c r="U6">
        <v>8.1666666666666661</v>
      </c>
      <c r="V6" s="12">
        <v>34.027777777777771</v>
      </c>
      <c r="W6">
        <v>0.99999999456691258</v>
      </c>
      <c r="X6" s="12">
        <v>5.4330874244001848E-9</v>
      </c>
      <c r="Y6" s="1" t="s">
        <v>15</v>
      </c>
      <c r="Z6">
        <v>4</v>
      </c>
      <c r="AA6">
        <v>0</v>
      </c>
      <c r="AB6">
        <v>4</v>
      </c>
      <c r="AC6" s="7"/>
    </row>
    <row r="7" spans="1:29" x14ac:dyDescent="0.25">
      <c r="A7" t="s">
        <v>23</v>
      </c>
      <c r="B7" s="20">
        <v>0.11157385533768613</v>
      </c>
      <c r="C7" s="1" t="s">
        <v>16</v>
      </c>
      <c r="D7">
        <v>0</v>
      </c>
      <c r="E7">
        <v>0</v>
      </c>
      <c r="F7">
        <v>0</v>
      </c>
      <c r="G7">
        <v>1</v>
      </c>
      <c r="H7">
        <v>0</v>
      </c>
      <c r="I7">
        <v>0</v>
      </c>
      <c r="J7">
        <v>0</v>
      </c>
      <c r="K7">
        <v>4</v>
      </c>
      <c r="L7" s="1">
        <v>5</v>
      </c>
      <c r="M7" s="10">
        <v>2</v>
      </c>
      <c r="N7">
        <v>10</v>
      </c>
      <c r="O7">
        <v>50</v>
      </c>
      <c r="P7" s="10">
        <v>2</v>
      </c>
      <c r="Q7">
        <v>24</v>
      </c>
      <c r="R7">
        <v>36</v>
      </c>
      <c r="S7" s="10">
        <v>2</v>
      </c>
      <c r="T7">
        <v>8.1666666666666661</v>
      </c>
      <c r="U7">
        <v>5.4444444444444446</v>
      </c>
      <c r="Y7" s="1" t="s">
        <v>16</v>
      </c>
      <c r="Z7">
        <v>5</v>
      </c>
      <c r="AA7">
        <v>1</v>
      </c>
      <c r="AB7">
        <v>4</v>
      </c>
      <c r="AC7" s="7"/>
    </row>
    <row r="8" spans="1:29" x14ac:dyDescent="0.25">
      <c r="A8" t="s">
        <v>24</v>
      </c>
      <c r="B8" s="20">
        <v>9.0977690231422853E-2</v>
      </c>
      <c r="C8" s="1" t="s">
        <v>17</v>
      </c>
      <c r="D8">
        <v>2</v>
      </c>
      <c r="E8">
        <v>0</v>
      </c>
      <c r="F8">
        <v>0</v>
      </c>
      <c r="G8">
        <v>0</v>
      </c>
      <c r="H8">
        <v>0</v>
      </c>
      <c r="I8">
        <v>1</v>
      </c>
      <c r="J8">
        <v>0</v>
      </c>
      <c r="K8">
        <v>1</v>
      </c>
      <c r="L8" s="1">
        <v>4</v>
      </c>
      <c r="M8" s="10" t="s">
        <v>40</v>
      </c>
      <c r="N8">
        <v>1</v>
      </c>
      <c r="O8">
        <v>2</v>
      </c>
      <c r="P8" s="10" t="s">
        <v>40</v>
      </c>
      <c r="S8" s="10" t="s">
        <v>40</v>
      </c>
      <c r="Y8" s="1" t="s">
        <v>17</v>
      </c>
      <c r="Z8">
        <v>4</v>
      </c>
      <c r="AA8">
        <v>0</v>
      </c>
      <c r="AB8">
        <v>4</v>
      </c>
      <c r="AC8" s="7"/>
    </row>
    <row r="9" spans="1:29" x14ac:dyDescent="0.25">
      <c r="C9" s="1" t="s">
        <v>18</v>
      </c>
      <c r="D9">
        <v>0</v>
      </c>
      <c r="E9">
        <v>0</v>
      </c>
      <c r="F9">
        <v>0</v>
      </c>
      <c r="G9">
        <v>0</v>
      </c>
      <c r="H9">
        <v>0</v>
      </c>
      <c r="I9">
        <v>1</v>
      </c>
      <c r="J9">
        <v>0</v>
      </c>
      <c r="K9">
        <v>4</v>
      </c>
      <c r="L9" s="1">
        <v>5</v>
      </c>
      <c r="M9" s="10">
        <v>1</v>
      </c>
      <c r="N9">
        <v>31</v>
      </c>
      <c r="O9">
        <v>9</v>
      </c>
      <c r="P9" s="10">
        <v>1</v>
      </c>
      <c r="Q9">
        <v>16</v>
      </c>
      <c r="R9">
        <v>24</v>
      </c>
      <c r="S9" s="10">
        <v>1</v>
      </c>
      <c r="T9">
        <v>14.0625</v>
      </c>
      <c r="U9">
        <v>9.375</v>
      </c>
      <c r="V9" s="12">
        <v>39.0625</v>
      </c>
      <c r="W9">
        <v>0.99999999958954733</v>
      </c>
      <c r="X9" s="12">
        <v>4.1045267185069179E-10</v>
      </c>
      <c r="Y9" s="1" t="s">
        <v>18</v>
      </c>
      <c r="Z9">
        <v>5</v>
      </c>
      <c r="AA9">
        <v>1</v>
      </c>
      <c r="AB9">
        <v>4</v>
      </c>
      <c r="AC9" s="7"/>
    </row>
    <row r="10" spans="1:29" x14ac:dyDescent="0.25">
      <c r="A10" s="7"/>
      <c r="C10" s="1" t="s">
        <v>19</v>
      </c>
      <c r="D10">
        <v>1</v>
      </c>
      <c r="E10">
        <v>0</v>
      </c>
      <c r="F10">
        <v>1</v>
      </c>
      <c r="G10">
        <v>0</v>
      </c>
      <c r="H10">
        <v>0</v>
      </c>
      <c r="I10">
        <v>0</v>
      </c>
      <c r="J10">
        <v>0</v>
      </c>
      <c r="K10">
        <v>3</v>
      </c>
      <c r="L10" s="1">
        <v>5</v>
      </c>
      <c r="M10" s="10">
        <v>2</v>
      </c>
      <c r="N10">
        <v>9</v>
      </c>
      <c r="O10">
        <v>51</v>
      </c>
      <c r="P10" s="10">
        <v>2</v>
      </c>
      <c r="Q10">
        <v>24</v>
      </c>
      <c r="R10">
        <v>36</v>
      </c>
      <c r="S10" s="10">
        <v>2</v>
      </c>
      <c r="T10">
        <v>9.375</v>
      </c>
      <c r="U10">
        <v>6.25</v>
      </c>
      <c r="Y10" s="1" t="s">
        <v>19</v>
      </c>
      <c r="Z10">
        <v>5</v>
      </c>
      <c r="AA10">
        <v>0</v>
      </c>
      <c r="AB10">
        <v>5</v>
      </c>
      <c r="AC10" s="7"/>
    </row>
    <row r="11" spans="1:29" x14ac:dyDescent="0.25">
      <c r="A11" s="7">
        <v>0</v>
      </c>
      <c r="B11" s="6">
        <v>0</v>
      </c>
      <c r="C11" s="1" t="s">
        <v>20</v>
      </c>
      <c r="D11">
        <v>0</v>
      </c>
      <c r="E11">
        <v>1</v>
      </c>
      <c r="F11">
        <v>1</v>
      </c>
      <c r="G11">
        <v>4</v>
      </c>
      <c r="H11">
        <v>1</v>
      </c>
      <c r="I11">
        <v>3</v>
      </c>
      <c r="J11">
        <v>3</v>
      </c>
      <c r="K11">
        <v>33</v>
      </c>
      <c r="L11" s="1">
        <v>46</v>
      </c>
      <c r="M11" s="10" t="s">
        <v>41</v>
      </c>
      <c r="N11">
        <v>1</v>
      </c>
      <c r="O11">
        <v>2</v>
      </c>
      <c r="P11" s="10" t="s">
        <v>41</v>
      </c>
      <c r="S11" s="10" t="s">
        <v>41</v>
      </c>
      <c r="Y11" s="1" t="s">
        <v>20</v>
      </c>
      <c r="Z11">
        <v>46</v>
      </c>
      <c r="AA11">
        <v>33</v>
      </c>
      <c r="AB11">
        <v>13</v>
      </c>
      <c r="AC11" s="7"/>
    </row>
    <row r="12" spans="1:29" x14ac:dyDescent="0.25">
      <c r="A12" s="7"/>
      <c r="B12" s="6"/>
      <c r="C12" s="1"/>
      <c r="D12" s="1">
        <v>27</v>
      </c>
      <c r="E12" s="1">
        <v>4</v>
      </c>
      <c r="F12" s="1">
        <v>4</v>
      </c>
      <c r="G12" s="1">
        <v>5</v>
      </c>
      <c r="H12" s="1">
        <v>4</v>
      </c>
      <c r="I12" s="1">
        <v>5</v>
      </c>
      <c r="J12" s="1">
        <v>5</v>
      </c>
      <c r="K12" s="1">
        <v>46</v>
      </c>
      <c r="L12" s="1">
        <v>100</v>
      </c>
      <c r="M12" s="10">
        <v>1</v>
      </c>
      <c r="N12">
        <v>31</v>
      </c>
      <c r="O12">
        <v>9</v>
      </c>
      <c r="P12" s="10">
        <v>1</v>
      </c>
      <c r="Q12">
        <v>16</v>
      </c>
      <c r="R12">
        <v>24</v>
      </c>
      <c r="S12" s="10">
        <v>1</v>
      </c>
      <c r="T12">
        <v>14.0625</v>
      </c>
      <c r="U12">
        <v>9.375</v>
      </c>
      <c r="V12" s="12">
        <v>39.0625</v>
      </c>
      <c r="W12">
        <v>0.99999999958954733</v>
      </c>
      <c r="X12" s="12">
        <v>4.1045267185069179E-10</v>
      </c>
      <c r="Y12" s="1" t="s">
        <v>46</v>
      </c>
      <c r="Z12" s="7">
        <v>100</v>
      </c>
      <c r="AA12" s="7">
        <v>55</v>
      </c>
      <c r="AB12" s="7">
        <v>45</v>
      </c>
      <c r="AC12" s="7"/>
    </row>
    <row r="13" spans="1:29" x14ac:dyDescent="0.25">
      <c r="A13" s="7"/>
      <c r="C13" s="1" t="s">
        <v>25</v>
      </c>
      <c r="D13" s="4">
        <v>0.27143580696310055</v>
      </c>
      <c r="E13" s="4">
        <v>2.7166112974600271E-2</v>
      </c>
      <c r="F13" s="4">
        <v>3.4088527945201674E-2</v>
      </c>
      <c r="G13" s="4">
        <v>3.4116825324488468E-3</v>
      </c>
      <c r="H13" s="4">
        <v>3.4088527964154264E-2</v>
      </c>
      <c r="I13" s="4">
        <v>3.4116825343456789E-3</v>
      </c>
      <c r="J13" s="4">
        <v>4.2810407039437868E-3</v>
      </c>
      <c r="K13" s="4">
        <v>4.284594457650501E-4</v>
      </c>
      <c r="M13" s="10">
        <v>2</v>
      </c>
      <c r="N13">
        <v>9</v>
      </c>
      <c r="O13">
        <v>51</v>
      </c>
      <c r="P13" s="10">
        <v>2</v>
      </c>
      <c r="Q13">
        <v>24</v>
      </c>
      <c r="R13">
        <v>36</v>
      </c>
      <c r="S13" s="10">
        <v>2</v>
      </c>
      <c r="T13">
        <v>9.375</v>
      </c>
      <c r="U13">
        <v>6.25</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0.71749223127672768</v>
      </c>
      <c r="C15" s="1" t="s">
        <v>13</v>
      </c>
      <c r="D15" s="4">
        <v>0.19475308278635414</v>
      </c>
      <c r="E15" s="4">
        <v>1.9491475013261612E-2</v>
      </c>
      <c r="F15" s="4">
        <v>2.4458253976341833E-2</v>
      </c>
      <c r="G15" s="4">
        <v>2.4478557126145599E-3</v>
      </c>
      <c r="H15" s="4">
        <v>2.4458253989940171E-2</v>
      </c>
      <c r="I15" s="4">
        <v>2.4478557139755225E-3</v>
      </c>
      <c r="J15" s="4">
        <v>3.0716134468591204E-3</v>
      </c>
      <c r="K15" s="4">
        <v>3.0741632375355589E-4</v>
      </c>
      <c r="AC15" s="7"/>
    </row>
    <row r="16" spans="1:29" x14ac:dyDescent="0.25">
      <c r="A16" s="7"/>
      <c r="B16" s="4">
        <v>7.1808783193852227E-2</v>
      </c>
      <c r="C16" s="1" t="s">
        <v>14</v>
      </c>
      <c r="D16" s="4">
        <v>1.9491475013261612E-2</v>
      </c>
      <c r="E16" s="4">
        <v>1.950765516812767E-3</v>
      </c>
      <c r="F16" s="4">
        <v>2.4478557126145599E-3</v>
      </c>
      <c r="G16" s="4">
        <v>2.4498877129887196E-4</v>
      </c>
      <c r="H16" s="4">
        <v>2.4478557139755225E-3</v>
      </c>
      <c r="I16" s="4">
        <v>2.4498877143508115E-4</v>
      </c>
      <c r="J16" s="4">
        <v>3.0741632375355589E-4</v>
      </c>
      <c r="K16" s="4">
        <v>3.0767151448300568E-5</v>
      </c>
      <c r="O16" s="8"/>
      <c r="AC16" s="7"/>
    </row>
    <row r="17" spans="1:29" x14ac:dyDescent="0.25">
      <c r="A17" s="7"/>
      <c r="B17" s="4">
        <v>9.010695475290309E-2</v>
      </c>
      <c r="C17" s="1" t="s">
        <v>15</v>
      </c>
      <c r="D17" s="4">
        <v>2.445825397634184E-2</v>
      </c>
      <c r="E17" s="4">
        <v>2.4478557126145603E-3</v>
      </c>
      <c r="F17" s="4">
        <v>3.0716134451513597E-3</v>
      </c>
      <c r="G17" s="4">
        <v>3.0741632358263809E-4</v>
      </c>
      <c r="H17" s="4">
        <v>3.07161344685912E-3</v>
      </c>
      <c r="I17" s="4">
        <v>3.0741632375355584E-4</v>
      </c>
      <c r="J17" s="4">
        <v>3.8575154100559919E-4</v>
      </c>
      <c r="K17" s="4">
        <v>3.8607175893005305E-5</v>
      </c>
      <c r="AC17" s="7"/>
    </row>
    <row r="18" spans="1:29" x14ac:dyDescent="0.25">
      <c r="A18" s="7"/>
      <c r="B18" s="4">
        <v>9.018175383719091E-3</v>
      </c>
      <c r="C18" s="1" t="s">
        <v>16</v>
      </c>
      <c r="D18" s="4">
        <v>2.4478557126145603E-3</v>
      </c>
      <c r="E18" s="4">
        <v>2.4498877129887196E-4</v>
      </c>
      <c r="F18" s="4">
        <v>3.0741632358263809E-4</v>
      </c>
      <c r="G18" s="4">
        <v>3.0767151431194602E-5</v>
      </c>
      <c r="H18" s="4">
        <v>3.0741632375355584E-4</v>
      </c>
      <c r="I18" s="4">
        <v>3.0767151448300561E-5</v>
      </c>
      <c r="J18" s="4">
        <v>3.8607175893005305E-5</v>
      </c>
      <c r="K18" s="4">
        <v>3.8639224267203001E-6</v>
      </c>
      <c r="AC18" s="7"/>
    </row>
    <row r="19" spans="1:29" x14ac:dyDescent="0.25">
      <c r="A19" s="7"/>
      <c r="B19" s="4">
        <v>9.0106954803000891E-2</v>
      </c>
      <c r="C19" s="1" t="s">
        <v>17</v>
      </c>
      <c r="D19" s="4">
        <v>2.4458253989940174E-2</v>
      </c>
      <c r="E19" s="4">
        <v>2.4478557139755229E-3</v>
      </c>
      <c r="F19" s="4">
        <v>3.07161344685912E-3</v>
      </c>
      <c r="G19" s="4">
        <v>3.0741632375355584E-4</v>
      </c>
      <c r="H19" s="4">
        <v>3.0716134485668802E-3</v>
      </c>
      <c r="I19" s="4">
        <v>3.0741632392447364E-4</v>
      </c>
      <c r="J19" s="4">
        <v>3.8575154122006994E-4</v>
      </c>
      <c r="K19" s="4">
        <v>3.8607175914470184E-5</v>
      </c>
      <c r="AC19" s="7"/>
    </row>
    <row r="20" spans="1:29" x14ac:dyDescent="0.25">
      <c r="A20" s="7"/>
      <c r="B20" s="4">
        <v>9.0181753887330299E-3</v>
      </c>
      <c r="C20" s="1" t="s">
        <v>18</v>
      </c>
      <c r="D20" s="4">
        <v>2.4478557139755229E-3</v>
      </c>
      <c r="E20" s="4">
        <v>2.449887714350812E-4</v>
      </c>
      <c r="F20" s="4">
        <v>3.0741632375355584E-4</v>
      </c>
      <c r="G20" s="4">
        <v>3.0767151448300568E-5</v>
      </c>
      <c r="H20" s="4">
        <v>3.0741632392447364E-4</v>
      </c>
      <c r="I20" s="4">
        <v>3.0767151465406534E-5</v>
      </c>
      <c r="J20" s="4">
        <v>3.8607175914470184E-5</v>
      </c>
      <c r="K20" s="4">
        <v>3.8639224288685696E-6</v>
      </c>
      <c r="AC20" s="7"/>
    </row>
    <row r="21" spans="1:29" x14ac:dyDescent="0.25">
      <c r="A21" s="7"/>
      <c r="B21" s="4">
        <v>1.1316168935945437E-2</v>
      </c>
      <c r="C21" s="1" t="s">
        <v>19</v>
      </c>
      <c r="D21" s="4">
        <v>3.0716134468591204E-3</v>
      </c>
      <c r="E21" s="4">
        <v>3.0741632375355589E-4</v>
      </c>
      <c r="F21" s="4">
        <v>3.8575154100559914E-4</v>
      </c>
      <c r="G21" s="4">
        <v>3.8607175893005298E-5</v>
      </c>
      <c r="H21" s="4">
        <v>3.8575154122006983E-4</v>
      </c>
      <c r="I21" s="4">
        <v>3.8607175914470177E-5</v>
      </c>
      <c r="J21" s="4">
        <v>4.844497982748667E-5</v>
      </c>
      <c r="K21" s="4">
        <v>4.848519470478859E-6</v>
      </c>
      <c r="M21" t="s">
        <v>62</v>
      </c>
      <c r="AC21" s="7"/>
    </row>
    <row r="22" spans="1:29" x14ac:dyDescent="0.25">
      <c r="A22" s="7"/>
      <c r="B22" s="4">
        <v>1.1325562651185023E-3</v>
      </c>
      <c r="C22" s="1" t="s">
        <v>20</v>
      </c>
      <c r="D22" s="4">
        <v>3.0741632375355589E-4</v>
      </c>
      <c r="E22" s="4">
        <v>3.0767151448300568E-5</v>
      </c>
      <c r="F22" s="4">
        <v>3.8607175893005305E-5</v>
      </c>
      <c r="G22" s="4">
        <v>3.8639224267202992E-6</v>
      </c>
      <c r="H22" s="4">
        <v>3.8607175914470177E-5</v>
      </c>
      <c r="I22" s="4">
        <v>3.8639224288685688E-6</v>
      </c>
      <c r="J22" s="4">
        <v>4.848519470478859E-6</v>
      </c>
      <c r="K22" s="4">
        <v>4.8525442965040865E-7</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6.4000000000000015E-2</v>
      </c>
      <c r="P24">
        <v>9.6000000000000016E-2</v>
      </c>
      <c r="Q24">
        <v>9.6000000000000002E-2</v>
      </c>
      <c r="R24">
        <v>0.14399999999999999</v>
      </c>
      <c r="S24">
        <v>9.6000000000000002E-2</v>
      </c>
      <c r="T24">
        <v>0.14399999999999999</v>
      </c>
      <c r="U24">
        <v>0.14399999999999999</v>
      </c>
      <c r="V24">
        <v>0.216</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7.1808783193852227E-2</v>
      </c>
      <c r="C26" s="1" t="s">
        <v>13</v>
      </c>
      <c r="D26" s="4">
        <v>0</v>
      </c>
      <c r="E26" s="4">
        <v>0</v>
      </c>
      <c r="F26" s="4">
        <v>0</v>
      </c>
      <c r="G26" s="4">
        <v>0</v>
      </c>
      <c r="H26" s="4">
        <v>0</v>
      </c>
      <c r="I26" s="4">
        <v>0</v>
      </c>
      <c r="J26" s="4">
        <v>0</v>
      </c>
      <c r="K26" s="4">
        <v>0</v>
      </c>
      <c r="M26" s="4">
        <v>6.4000000000000015E-2</v>
      </c>
      <c r="N26" s="1" t="s">
        <v>13</v>
      </c>
      <c r="O26">
        <v>4.0960000000000015E-3</v>
      </c>
      <c r="P26">
        <v>6.1440000000000028E-3</v>
      </c>
      <c r="Q26">
        <v>6.1440000000000019E-3</v>
      </c>
      <c r="R26">
        <v>9.216000000000002E-3</v>
      </c>
      <c r="S26">
        <v>6.1440000000000019E-3</v>
      </c>
      <c r="T26">
        <v>9.216000000000002E-3</v>
      </c>
      <c r="U26">
        <v>9.216000000000002E-3</v>
      </c>
      <c r="V26">
        <v>1.3824000000000003E-2</v>
      </c>
      <c r="AC26" s="7"/>
    </row>
    <row r="27" spans="1:29" x14ac:dyDescent="0.25">
      <c r="A27" s="7"/>
      <c r="B27" s="4">
        <v>0.71749223127672768</v>
      </c>
      <c r="C27" s="1" t="s">
        <v>14</v>
      </c>
      <c r="D27" s="4">
        <v>0</v>
      </c>
      <c r="E27" s="4">
        <v>0</v>
      </c>
      <c r="F27" s="4">
        <v>0</v>
      </c>
      <c r="G27" s="4">
        <v>0</v>
      </c>
      <c r="H27" s="4">
        <v>0</v>
      </c>
      <c r="I27" s="4">
        <v>0</v>
      </c>
      <c r="J27" s="4">
        <v>0</v>
      </c>
      <c r="K27" s="4">
        <v>0</v>
      </c>
      <c r="M27" s="4">
        <v>9.6000000000000016E-2</v>
      </c>
      <c r="N27" s="1" t="s">
        <v>14</v>
      </c>
      <c r="O27">
        <v>6.1440000000000028E-3</v>
      </c>
      <c r="P27">
        <v>9.2160000000000037E-3</v>
      </c>
      <c r="Q27">
        <v>9.216000000000002E-3</v>
      </c>
      <c r="R27">
        <v>1.3824000000000001E-2</v>
      </c>
      <c r="S27">
        <v>9.216000000000002E-3</v>
      </c>
      <c r="T27">
        <v>1.3824000000000001E-2</v>
      </c>
      <c r="U27">
        <v>1.3824000000000001E-2</v>
      </c>
      <c r="V27">
        <v>2.0736000000000004E-2</v>
      </c>
      <c r="AC27" s="7"/>
    </row>
    <row r="28" spans="1:29" x14ac:dyDescent="0.25">
      <c r="A28" s="7"/>
      <c r="B28" s="4">
        <v>9.018175383719091E-3</v>
      </c>
      <c r="C28" s="1" t="s">
        <v>15</v>
      </c>
      <c r="D28" s="4">
        <v>0</v>
      </c>
      <c r="E28" s="4">
        <v>0</v>
      </c>
      <c r="F28" s="4">
        <v>0</v>
      </c>
      <c r="G28" s="4">
        <v>0</v>
      </c>
      <c r="H28" s="4">
        <v>0</v>
      </c>
      <c r="I28" s="4">
        <v>0</v>
      </c>
      <c r="J28" s="4">
        <v>0</v>
      </c>
      <c r="K28" s="4">
        <v>0</v>
      </c>
      <c r="M28" s="4">
        <v>9.6000000000000002E-2</v>
      </c>
      <c r="N28" s="1" t="s">
        <v>15</v>
      </c>
      <c r="O28">
        <v>6.1440000000000019E-3</v>
      </c>
      <c r="P28">
        <v>9.216000000000002E-3</v>
      </c>
      <c r="Q28">
        <v>9.2160000000000002E-3</v>
      </c>
      <c r="R28">
        <v>1.3823999999999999E-2</v>
      </c>
      <c r="S28">
        <v>9.2160000000000002E-3</v>
      </c>
      <c r="T28">
        <v>1.3823999999999999E-2</v>
      </c>
      <c r="U28">
        <v>1.3823999999999999E-2</v>
      </c>
      <c r="V28">
        <v>2.0736000000000001E-2</v>
      </c>
      <c r="AC28" s="7"/>
    </row>
    <row r="29" spans="1:29" x14ac:dyDescent="0.25">
      <c r="A29" s="7"/>
      <c r="B29" s="4">
        <v>9.010695475290309E-2</v>
      </c>
      <c r="C29" s="1" t="s">
        <v>16</v>
      </c>
      <c r="D29" s="4">
        <v>0</v>
      </c>
      <c r="E29" s="4">
        <v>0</v>
      </c>
      <c r="F29" s="4">
        <v>0</v>
      </c>
      <c r="G29" s="4">
        <v>0</v>
      </c>
      <c r="H29" s="4">
        <v>0</v>
      </c>
      <c r="I29" s="4">
        <v>0</v>
      </c>
      <c r="J29" s="4">
        <v>0</v>
      </c>
      <c r="K29" s="4">
        <v>0</v>
      </c>
      <c r="M29" s="4">
        <v>0.14399999999999999</v>
      </c>
      <c r="N29" s="1" t="s">
        <v>16</v>
      </c>
      <c r="O29">
        <v>9.216000000000002E-3</v>
      </c>
      <c r="P29">
        <v>1.3824000000000001E-2</v>
      </c>
      <c r="Q29">
        <v>1.3823999999999999E-2</v>
      </c>
      <c r="R29">
        <v>2.0735999999999997E-2</v>
      </c>
      <c r="S29">
        <v>1.3823999999999999E-2</v>
      </c>
      <c r="T29">
        <v>2.0735999999999997E-2</v>
      </c>
      <c r="U29">
        <v>2.0735999999999997E-2</v>
      </c>
      <c r="V29">
        <v>3.1103999999999996E-2</v>
      </c>
      <c r="AC29" s="7"/>
    </row>
    <row r="30" spans="1:29" x14ac:dyDescent="0.25">
      <c r="A30" s="7"/>
      <c r="B30" s="4">
        <v>9.0181753887330299E-3</v>
      </c>
      <c r="C30" s="1" t="s">
        <v>17</v>
      </c>
      <c r="D30" s="4">
        <v>0</v>
      </c>
      <c r="E30" s="4">
        <v>0</v>
      </c>
      <c r="F30" s="4">
        <v>0</v>
      </c>
      <c r="G30" s="4">
        <v>0</v>
      </c>
      <c r="H30" s="4">
        <v>0</v>
      </c>
      <c r="I30" s="4">
        <v>0</v>
      </c>
      <c r="J30" s="4">
        <v>0</v>
      </c>
      <c r="K30" s="4">
        <v>0</v>
      </c>
      <c r="M30" s="4">
        <v>9.6000000000000002E-2</v>
      </c>
      <c r="N30" s="1" t="s">
        <v>17</v>
      </c>
      <c r="O30">
        <v>6.1440000000000019E-3</v>
      </c>
      <c r="P30">
        <v>9.216000000000002E-3</v>
      </c>
      <c r="Q30">
        <v>9.2160000000000002E-3</v>
      </c>
      <c r="R30">
        <v>1.3823999999999999E-2</v>
      </c>
      <c r="S30">
        <v>9.2160000000000002E-3</v>
      </c>
      <c r="T30">
        <v>1.3823999999999999E-2</v>
      </c>
      <c r="U30">
        <v>1.3823999999999999E-2</v>
      </c>
      <c r="V30">
        <v>2.0736000000000001E-2</v>
      </c>
      <c r="AC30" s="7"/>
    </row>
    <row r="31" spans="1:29" x14ac:dyDescent="0.25">
      <c r="A31" s="7"/>
      <c r="B31" s="4">
        <v>9.0106954803000891E-2</v>
      </c>
      <c r="C31" s="1" t="s">
        <v>18</v>
      </c>
      <c r="D31" s="4">
        <v>0</v>
      </c>
      <c r="E31" s="4">
        <v>0</v>
      </c>
      <c r="F31" s="4">
        <v>0</v>
      </c>
      <c r="G31" s="4">
        <v>0</v>
      </c>
      <c r="H31" s="4">
        <v>0</v>
      </c>
      <c r="I31" s="4">
        <v>0</v>
      </c>
      <c r="J31" s="4">
        <v>0</v>
      </c>
      <c r="K31" s="4">
        <v>0</v>
      </c>
      <c r="M31" s="4">
        <v>0.14399999999999999</v>
      </c>
      <c r="N31" s="1" t="s">
        <v>18</v>
      </c>
      <c r="O31">
        <v>9.216000000000002E-3</v>
      </c>
      <c r="P31">
        <v>1.3824000000000001E-2</v>
      </c>
      <c r="Q31">
        <v>1.3823999999999999E-2</v>
      </c>
      <c r="R31">
        <v>2.0735999999999997E-2</v>
      </c>
      <c r="S31">
        <v>1.3823999999999999E-2</v>
      </c>
      <c r="T31">
        <v>2.0735999999999997E-2</v>
      </c>
      <c r="U31">
        <v>2.0735999999999997E-2</v>
      </c>
      <c r="V31">
        <v>3.1103999999999996E-2</v>
      </c>
      <c r="AC31" s="7"/>
    </row>
    <row r="32" spans="1:29" x14ac:dyDescent="0.25">
      <c r="A32" s="7"/>
      <c r="B32" s="4">
        <v>1.1325562651185023E-3</v>
      </c>
      <c r="C32" s="1" t="s">
        <v>19</v>
      </c>
      <c r="D32" s="4">
        <v>0</v>
      </c>
      <c r="E32" s="4">
        <v>0</v>
      </c>
      <c r="F32" s="4">
        <v>0</v>
      </c>
      <c r="G32" s="4">
        <v>0</v>
      </c>
      <c r="H32" s="4">
        <v>0</v>
      </c>
      <c r="I32" s="4">
        <v>0</v>
      </c>
      <c r="J32" s="4">
        <v>0</v>
      </c>
      <c r="K32" s="4">
        <v>0</v>
      </c>
      <c r="M32" s="4">
        <v>0.14399999999999999</v>
      </c>
      <c r="N32" s="1" t="s">
        <v>19</v>
      </c>
      <c r="O32">
        <v>9.216000000000002E-3</v>
      </c>
      <c r="P32">
        <v>1.3824000000000001E-2</v>
      </c>
      <c r="Q32">
        <v>1.3823999999999999E-2</v>
      </c>
      <c r="R32">
        <v>2.0735999999999997E-2</v>
      </c>
      <c r="S32">
        <v>1.3823999999999999E-2</v>
      </c>
      <c r="T32">
        <v>2.0735999999999997E-2</v>
      </c>
      <c r="U32">
        <v>2.0735999999999997E-2</v>
      </c>
      <c r="V32">
        <v>3.1103999999999996E-2</v>
      </c>
      <c r="AC32" s="7"/>
    </row>
    <row r="33" spans="1:29" x14ac:dyDescent="0.25">
      <c r="A33" s="7"/>
      <c r="B33" s="4">
        <v>1.1316168935945437E-2</v>
      </c>
      <c r="C33" s="1" t="s">
        <v>20</v>
      </c>
      <c r="D33" s="4">
        <v>0</v>
      </c>
      <c r="E33" s="4">
        <v>0</v>
      </c>
      <c r="F33" s="4">
        <v>0</v>
      </c>
      <c r="G33" s="4">
        <v>0</v>
      </c>
      <c r="H33" s="4">
        <v>0</v>
      </c>
      <c r="I33" s="4">
        <v>0</v>
      </c>
      <c r="J33" s="4">
        <v>0</v>
      </c>
      <c r="K33" s="4">
        <v>0</v>
      </c>
      <c r="M33" s="4">
        <v>0.216</v>
      </c>
      <c r="N33" s="1" t="s">
        <v>20</v>
      </c>
      <c r="O33">
        <v>1.3824000000000003E-2</v>
      </c>
      <c r="P33">
        <v>2.0736000000000004E-2</v>
      </c>
      <c r="Q33">
        <v>2.0736000000000001E-2</v>
      </c>
      <c r="R33">
        <v>3.1103999999999996E-2</v>
      </c>
      <c r="S33">
        <v>2.0736000000000001E-2</v>
      </c>
      <c r="T33">
        <v>3.1103999999999996E-2</v>
      </c>
      <c r="U33">
        <v>3.1103999999999996E-2</v>
      </c>
      <c r="V33">
        <v>4.6655999999999996E-2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9.010695475290309E-2</v>
      </c>
      <c r="C37" s="1" t="s">
        <v>13</v>
      </c>
      <c r="D37" s="4">
        <v>0</v>
      </c>
      <c r="E37" s="4">
        <v>0</v>
      </c>
      <c r="F37" s="4">
        <v>0</v>
      </c>
      <c r="G37" s="4">
        <v>0</v>
      </c>
      <c r="H37" s="4">
        <v>0</v>
      </c>
      <c r="I37" s="4">
        <v>0</v>
      </c>
      <c r="J37" s="4">
        <v>0</v>
      </c>
      <c r="K37" s="4">
        <v>0</v>
      </c>
      <c r="N37" s="1" t="s">
        <v>13</v>
      </c>
      <c r="O37" s="5">
        <v>0.40960000000000013</v>
      </c>
      <c r="P37" s="5">
        <v>0.61440000000000028</v>
      </c>
      <c r="Q37" s="5">
        <v>0.61440000000000017</v>
      </c>
      <c r="R37" s="5">
        <v>0.9216000000000002</v>
      </c>
      <c r="S37" s="5">
        <v>0.61440000000000017</v>
      </c>
      <c r="T37" s="5">
        <v>0.9216000000000002</v>
      </c>
      <c r="U37" s="5">
        <v>0.9216000000000002</v>
      </c>
      <c r="V37" s="5">
        <v>1.3824000000000003</v>
      </c>
      <c r="X37">
        <v>6.4000000000000021</v>
      </c>
      <c r="Y37">
        <v>0.40960000000000013</v>
      </c>
      <c r="Z37">
        <v>5.9904000000000019</v>
      </c>
      <c r="AA37">
        <v>936.97209999999961</v>
      </c>
      <c r="AB37">
        <v>0.17015427350427278</v>
      </c>
      <c r="AC37" s="7"/>
    </row>
    <row r="38" spans="1:29" x14ac:dyDescent="0.25">
      <c r="A38" s="7"/>
      <c r="B38" s="4">
        <v>9.018175383719091E-3</v>
      </c>
      <c r="C38" s="1" t="s">
        <v>14</v>
      </c>
      <c r="D38" s="4">
        <v>0</v>
      </c>
      <c r="E38" s="4">
        <v>0</v>
      </c>
      <c r="F38" s="4">
        <v>0</v>
      </c>
      <c r="G38" s="4">
        <v>0</v>
      </c>
      <c r="H38" s="4">
        <v>0</v>
      </c>
      <c r="I38" s="4">
        <v>0</v>
      </c>
      <c r="J38" s="4">
        <v>0</v>
      </c>
      <c r="K38" s="4">
        <v>0</v>
      </c>
      <c r="N38" s="1" t="s">
        <v>14</v>
      </c>
      <c r="O38" s="5">
        <v>0.61440000000000028</v>
      </c>
      <c r="P38" s="5">
        <v>0.92160000000000042</v>
      </c>
      <c r="Q38" s="5">
        <v>0.9216000000000002</v>
      </c>
      <c r="R38" s="5">
        <v>1.3824000000000001</v>
      </c>
      <c r="S38" s="5">
        <v>0.9216000000000002</v>
      </c>
      <c r="T38" s="5">
        <v>1.3824000000000001</v>
      </c>
      <c r="U38" s="5">
        <v>1.3824000000000001</v>
      </c>
      <c r="V38" s="5">
        <v>2.0736000000000003</v>
      </c>
      <c r="X38">
        <v>9.6000000000000032</v>
      </c>
      <c r="Y38">
        <v>0.92160000000000042</v>
      </c>
      <c r="Z38">
        <v>8.6784000000000034</v>
      </c>
      <c r="AA38">
        <v>0.92160000000000042</v>
      </c>
      <c r="AB38">
        <v>2.5220578171091472</v>
      </c>
      <c r="AC38" s="7"/>
    </row>
    <row r="39" spans="1:29" x14ac:dyDescent="0.25">
      <c r="A39" s="7"/>
      <c r="B39" s="4">
        <v>0.71749223127672768</v>
      </c>
      <c r="C39" s="1" t="s">
        <v>15</v>
      </c>
      <c r="D39" s="4">
        <v>0</v>
      </c>
      <c r="E39" s="4">
        <v>0</v>
      </c>
      <c r="F39" s="4">
        <v>0</v>
      </c>
      <c r="G39" s="4">
        <v>0</v>
      </c>
      <c r="H39" s="4">
        <v>0</v>
      </c>
      <c r="I39" s="4">
        <v>0</v>
      </c>
      <c r="J39" s="4">
        <v>0</v>
      </c>
      <c r="K39" s="4">
        <v>0</v>
      </c>
      <c r="N39" s="1" t="s">
        <v>15</v>
      </c>
      <c r="O39" s="5">
        <v>0.61440000000000017</v>
      </c>
      <c r="P39" s="5">
        <v>0.9216000000000002</v>
      </c>
      <c r="Q39" s="5">
        <v>0.92159999999999997</v>
      </c>
      <c r="R39" s="5">
        <v>1.3823999999999999</v>
      </c>
      <c r="S39" s="5">
        <v>0.92159999999999997</v>
      </c>
      <c r="T39" s="5">
        <v>1.3823999999999999</v>
      </c>
      <c r="U39" s="5">
        <v>1.3823999999999999</v>
      </c>
      <c r="V39" s="5">
        <v>2.0735999999999999</v>
      </c>
      <c r="X39">
        <v>9.5999999999999979</v>
      </c>
      <c r="Y39">
        <v>0.92159999999999997</v>
      </c>
      <c r="Z39">
        <v>8.6783999999999981</v>
      </c>
      <c r="AA39">
        <v>0.92159999999999997</v>
      </c>
      <c r="AB39">
        <v>2.5220578171091432</v>
      </c>
      <c r="AC39" s="7"/>
    </row>
    <row r="40" spans="1:29" x14ac:dyDescent="0.25">
      <c r="A40" s="7"/>
      <c r="B40" s="4">
        <v>7.1808783193852227E-2</v>
      </c>
      <c r="C40" s="1" t="s">
        <v>16</v>
      </c>
      <c r="D40" s="4">
        <v>0</v>
      </c>
      <c r="E40" s="4">
        <v>0</v>
      </c>
      <c r="F40" s="4">
        <v>0</v>
      </c>
      <c r="G40" s="4">
        <v>0</v>
      </c>
      <c r="H40" s="4">
        <v>0</v>
      </c>
      <c r="I40" s="4">
        <v>0</v>
      </c>
      <c r="J40" s="4">
        <v>0</v>
      </c>
      <c r="K40" s="4">
        <v>0</v>
      </c>
      <c r="N40" s="1" t="s">
        <v>16</v>
      </c>
      <c r="O40" s="5">
        <v>0.9216000000000002</v>
      </c>
      <c r="P40" s="5">
        <v>1.3824000000000001</v>
      </c>
      <c r="Q40" s="5">
        <v>1.3823999999999999</v>
      </c>
      <c r="R40" s="5">
        <v>2.0735999999999999</v>
      </c>
      <c r="S40" s="5">
        <v>1.3823999999999999</v>
      </c>
      <c r="T40" s="5">
        <v>2.0735999999999999</v>
      </c>
      <c r="U40" s="5">
        <v>2.0735999999999999</v>
      </c>
      <c r="V40" s="5">
        <v>3.1103999999999998</v>
      </c>
      <c r="X40">
        <v>14.4</v>
      </c>
      <c r="Y40">
        <v>2.0735999999999999</v>
      </c>
      <c r="Z40">
        <v>12.3264</v>
      </c>
      <c r="AA40">
        <v>0.55585308641975306</v>
      </c>
      <c r="AB40">
        <v>5.6244269989615781</v>
      </c>
      <c r="AC40" s="7"/>
    </row>
    <row r="41" spans="1:29" x14ac:dyDescent="0.25">
      <c r="A41" s="7"/>
      <c r="B41" s="4">
        <v>1.1316168935945437E-2</v>
      </c>
      <c r="C41" s="1" t="s">
        <v>17</v>
      </c>
      <c r="D41" s="4">
        <v>0</v>
      </c>
      <c r="E41" s="4">
        <v>0</v>
      </c>
      <c r="F41" s="4">
        <v>0</v>
      </c>
      <c r="G41" s="4">
        <v>0</v>
      </c>
      <c r="H41" s="4">
        <v>0</v>
      </c>
      <c r="I41" s="4">
        <v>0</v>
      </c>
      <c r="J41" s="4">
        <v>0</v>
      </c>
      <c r="K41" s="4">
        <v>0</v>
      </c>
      <c r="N41" s="1" t="s">
        <v>17</v>
      </c>
      <c r="O41" s="5">
        <v>0.61440000000000017</v>
      </c>
      <c r="P41" s="5">
        <v>0.9216000000000002</v>
      </c>
      <c r="Q41" s="5">
        <v>0.92159999999999997</v>
      </c>
      <c r="R41" s="5">
        <v>1.3823999999999999</v>
      </c>
      <c r="S41" s="5">
        <v>0.92159999999999997</v>
      </c>
      <c r="T41" s="5">
        <v>1.3823999999999999</v>
      </c>
      <c r="U41" s="5">
        <v>1.3823999999999999</v>
      </c>
      <c r="V41" s="5">
        <v>2.0735999999999999</v>
      </c>
      <c r="X41">
        <v>9.5999999999999979</v>
      </c>
      <c r="Y41">
        <v>0.92159999999999997</v>
      </c>
      <c r="Z41">
        <v>8.6783999999999981</v>
      </c>
      <c r="AA41">
        <v>0.92159999999999997</v>
      </c>
      <c r="AB41">
        <v>2.5220578171091432</v>
      </c>
      <c r="AC41" s="7"/>
    </row>
    <row r="42" spans="1:29" x14ac:dyDescent="0.25">
      <c r="A42" s="7"/>
      <c r="B42" s="4">
        <v>1.1325562651185023E-3</v>
      </c>
      <c r="C42" s="1" t="s">
        <v>18</v>
      </c>
      <c r="D42" s="4">
        <v>0</v>
      </c>
      <c r="E42" s="4">
        <v>0</v>
      </c>
      <c r="F42" s="4">
        <v>0</v>
      </c>
      <c r="G42" s="4">
        <v>0</v>
      </c>
      <c r="H42" s="4">
        <v>0</v>
      </c>
      <c r="I42" s="4">
        <v>0</v>
      </c>
      <c r="J42" s="4">
        <v>0</v>
      </c>
      <c r="K42" s="4">
        <v>0</v>
      </c>
      <c r="N42" s="1" t="s">
        <v>18</v>
      </c>
      <c r="O42" s="5">
        <v>0.9216000000000002</v>
      </c>
      <c r="P42" s="5">
        <v>1.3824000000000001</v>
      </c>
      <c r="Q42" s="5">
        <v>1.3823999999999999</v>
      </c>
      <c r="R42" s="5">
        <v>2.0735999999999999</v>
      </c>
      <c r="S42" s="5">
        <v>1.3823999999999999</v>
      </c>
      <c r="T42" s="5">
        <v>2.0735999999999999</v>
      </c>
      <c r="U42" s="5">
        <v>2.0735999999999999</v>
      </c>
      <c r="V42" s="5">
        <v>3.1103999999999998</v>
      </c>
      <c r="X42">
        <v>14.4</v>
      </c>
      <c r="Y42">
        <v>2.0735999999999999</v>
      </c>
      <c r="Z42">
        <v>12.3264</v>
      </c>
      <c r="AA42">
        <v>0.55585308641975306</v>
      </c>
      <c r="AB42">
        <v>5.6244269989615781</v>
      </c>
      <c r="AC42" s="7"/>
    </row>
    <row r="43" spans="1:29" x14ac:dyDescent="0.25">
      <c r="A43" s="7"/>
      <c r="B43" s="4">
        <v>9.0106954803000891E-2</v>
      </c>
      <c r="C43" s="1" t="s">
        <v>19</v>
      </c>
      <c r="D43" s="4">
        <v>0</v>
      </c>
      <c r="E43" s="4">
        <v>0</v>
      </c>
      <c r="F43" s="4">
        <v>0</v>
      </c>
      <c r="G43" s="4">
        <v>0</v>
      </c>
      <c r="H43" s="4">
        <v>0</v>
      </c>
      <c r="I43" s="4">
        <v>0</v>
      </c>
      <c r="J43" s="4">
        <v>0</v>
      </c>
      <c r="K43" s="4">
        <v>0</v>
      </c>
      <c r="N43" s="1" t="s">
        <v>19</v>
      </c>
      <c r="O43" s="5">
        <v>0.9216000000000002</v>
      </c>
      <c r="P43" s="5">
        <v>1.3824000000000001</v>
      </c>
      <c r="Q43" s="5">
        <v>1.3823999999999999</v>
      </c>
      <c r="R43" s="5">
        <v>2.0735999999999999</v>
      </c>
      <c r="S43" s="5">
        <v>1.3823999999999999</v>
      </c>
      <c r="T43" s="5">
        <v>2.0735999999999999</v>
      </c>
      <c r="U43" s="5">
        <v>2.0735999999999999</v>
      </c>
      <c r="V43" s="5">
        <v>3.1103999999999998</v>
      </c>
      <c r="X43">
        <v>14.4</v>
      </c>
      <c r="Y43">
        <v>2.0735999999999999</v>
      </c>
      <c r="Z43">
        <v>12.3264</v>
      </c>
      <c r="AA43">
        <v>2.0735999999999999</v>
      </c>
      <c r="AB43">
        <v>4.3545671858774657</v>
      </c>
      <c r="AC43" s="7"/>
    </row>
    <row r="44" spans="1:29" x14ac:dyDescent="0.25">
      <c r="A44" s="7"/>
      <c r="B44" s="4">
        <v>9.0181753887330299E-3</v>
      </c>
      <c r="C44" s="1" t="s">
        <v>20</v>
      </c>
      <c r="D44" s="4">
        <v>0</v>
      </c>
      <c r="E44" s="4">
        <v>0</v>
      </c>
      <c r="F44" s="4">
        <v>0</v>
      </c>
      <c r="G44" s="4">
        <v>0</v>
      </c>
      <c r="H44" s="4">
        <v>0</v>
      </c>
      <c r="I44" s="4">
        <v>0</v>
      </c>
      <c r="J44" s="4">
        <v>0</v>
      </c>
      <c r="K44" s="4">
        <v>0</v>
      </c>
      <c r="N44" s="1" t="s">
        <v>20</v>
      </c>
      <c r="O44" s="5">
        <v>1.3824000000000003</v>
      </c>
      <c r="P44" s="5">
        <v>2.0736000000000003</v>
      </c>
      <c r="Q44" s="5">
        <v>2.0735999999999999</v>
      </c>
      <c r="R44" s="5">
        <v>3.1103999999999998</v>
      </c>
      <c r="S44" s="5">
        <v>2.0735999999999999</v>
      </c>
      <c r="T44" s="5">
        <v>3.1103999999999998</v>
      </c>
      <c r="U44" s="5">
        <v>3.1103999999999998</v>
      </c>
      <c r="V44" s="5">
        <v>4.6655999999999995</v>
      </c>
      <c r="X44">
        <v>21.6</v>
      </c>
      <c r="Y44">
        <v>4.6655999999999995</v>
      </c>
      <c r="Z44">
        <v>16.934400000000004</v>
      </c>
      <c r="AA44">
        <v>172.07609382716055</v>
      </c>
      <c r="AB44">
        <v>0.91408631897203474</v>
      </c>
      <c r="AC44" s="7"/>
    </row>
    <row r="45" spans="1:29" x14ac:dyDescent="0.25">
      <c r="A45" s="7"/>
      <c r="X45" s="9">
        <v>100.00000000000003</v>
      </c>
      <c r="Y45" s="9">
        <v>14.060799999999999</v>
      </c>
      <c r="Z45" s="9">
        <v>85.9392</v>
      </c>
      <c r="AA45" s="9">
        <v>1114.9982999999997</v>
      </c>
      <c r="AB45" s="9">
        <v>24.253835227604366</v>
      </c>
      <c r="AC45" s="7"/>
    </row>
    <row r="46" spans="1:29" x14ac:dyDescent="0.25">
      <c r="A46" s="7"/>
      <c r="C46" s="1" t="s">
        <v>28</v>
      </c>
      <c r="D46" s="4">
        <v>0</v>
      </c>
      <c r="E46" s="4">
        <v>0</v>
      </c>
      <c r="F46" s="4">
        <v>0</v>
      </c>
      <c r="G46" s="4">
        <v>0</v>
      </c>
      <c r="H46" s="4">
        <v>0</v>
      </c>
      <c r="I46" s="4">
        <v>0</v>
      </c>
      <c r="J46" s="4">
        <v>0</v>
      </c>
      <c r="K46" s="4">
        <v>0</v>
      </c>
      <c r="P46" t="s">
        <v>70</v>
      </c>
      <c r="AB46" s="22">
        <v>1139.2521352276042</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9.018175383719091E-3</v>
      </c>
      <c r="C48" s="1" t="s">
        <v>13</v>
      </c>
      <c r="D48" s="4">
        <v>0</v>
      </c>
      <c r="E48" s="4">
        <v>0</v>
      </c>
      <c r="F48" s="4">
        <v>0</v>
      </c>
      <c r="G48" s="4">
        <v>0</v>
      </c>
      <c r="H48" s="4">
        <v>0</v>
      </c>
      <c r="I48" s="4">
        <v>0</v>
      </c>
      <c r="J48" s="4">
        <v>0</v>
      </c>
      <c r="K48" s="4">
        <v>0</v>
      </c>
      <c r="N48" s="1" t="s">
        <v>13</v>
      </c>
      <c r="O48">
        <v>936.97209999999961</v>
      </c>
      <c r="P48">
        <v>3.1248166666666641</v>
      </c>
      <c r="Q48">
        <v>3.1248166666666646</v>
      </c>
      <c r="R48">
        <v>0.92160000000000031</v>
      </c>
      <c r="S48">
        <v>3.1248166666666646</v>
      </c>
      <c r="T48">
        <v>0.92160000000000031</v>
      </c>
      <c r="U48">
        <v>6.6694444444444102E-3</v>
      </c>
      <c r="V48">
        <v>1.3824000000000003</v>
      </c>
      <c r="W48" s="7">
        <v>949.57881944444409</v>
      </c>
      <c r="Z48" t="s">
        <v>67</v>
      </c>
      <c r="AC48" s="7"/>
    </row>
    <row r="49" spans="1:29" x14ac:dyDescent="0.25">
      <c r="A49" s="7"/>
      <c r="B49" s="4">
        <v>9.010695475290309E-2</v>
      </c>
      <c r="C49" s="1" t="s">
        <v>14</v>
      </c>
      <c r="D49" s="4">
        <v>0</v>
      </c>
      <c r="E49" s="4">
        <v>0</v>
      </c>
      <c r="F49" s="4">
        <v>0</v>
      </c>
      <c r="G49" s="4">
        <v>0</v>
      </c>
      <c r="H49" s="4">
        <v>0</v>
      </c>
      <c r="I49" s="4">
        <v>0</v>
      </c>
      <c r="J49" s="4">
        <v>0</v>
      </c>
      <c r="K49" s="4">
        <v>0</v>
      </c>
      <c r="N49" s="1" t="s">
        <v>14</v>
      </c>
      <c r="O49">
        <v>3.1248166666666641</v>
      </c>
      <c r="P49">
        <v>0.92160000000000042</v>
      </c>
      <c r="Q49">
        <v>0.92160000000000031</v>
      </c>
      <c r="R49">
        <v>1.3824000000000001</v>
      </c>
      <c r="S49">
        <v>6.6694444444444102E-3</v>
      </c>
      <c r="T49">
        <v>1.3824000000000001</v>
      </c>
      <c r="U49">
        <v>0.10577962962962967</v>
      </c>
      <c r="V49">
        <v>2.0736000000000003</v>
      </c>
      <c r="W49" s="7">
        <v>9.9188657407407401</v>
      </c>
      <c r="Z49" t="s">
        <v>69</v>
      </c>
      <c r="AB49">
        <v>12</v>
      </c>
      <c r="AC49" s="7"/>
    </row>
    <row r="50" spans="1:29" x14ac:dyDescent="0.25">
      <c r="A50" s="7"/>
      <c r="B50" s="4">
        <v>7.1808783193852227E-2</v>
      </c>
      <c r="C50" s="1" t="s">
        <v>15</v>
      </c>
      <c r="D50" s="4">
        <v>0</v>
      </c>
      <c r="E50" s="4">
        <v>0</v>
      </c>
      <c r="F50" s="4">
        <v>0</v>
      </c>
      <c r="G50" s="4">
        <v>0</v>
      </c>
      <c r="H50" s="4">
        <v>0</v>
      </c>
      <c r="I50" s="4">
        <v>0</v>
      </c>
      <c r="J50" s="4">
        <v>0</v>
      </c>
      <c r="K50" s="4">
        <v>0</v>
      </c>
      <c r="N50" s="1" t="s">
        <v>15</v>
      </c>
      <c r="O50">
        <v>3.1248166666666646</v>
      </c>
      <c r="P50">
        <v>6.6694444444444102E-3</v>
      </c>
      <c r="Q50">
        <v>0.92159999999999997</v>
      </c>
      <c r="R50">
        <v>1.3823999999999999</v>
      </c>
      <c r="S50">
        <v>0.92159999999999997</v>
      </c>
      <c r="T50">
        <v>1.3823999999999999</v>
      </c>
      <c r="U50">
        <v>1.3823999999999999</v>
      </c>
      <c r="V50">
        <v>0.55585308641975306</v>
      </c>
      <c r="W50" s="7">
        <v>9.6777391975308618</v>
      </c>
      <c r="AC50" s="7"/>
    </row>
    <row r="51" spans="1:29" x14ac:dyDescent="0.25">
      <c r="A51" s="7"/>
      <c r="B51" s="4">
        <v>0.71749223127672768</v>
      </c>
      <c r="C51" s="1" t="s">
        <v>16</v>
      </c>
      <c r="D51" s="4">
        <v>0</v>
      </c>
      <c r="E51" s="4">
        <v>0</v>
      </c>
      <c r="F51" s="4">
        <v>0</v>
      </c>
      <c r="G51" s="4">
        <v>0</v>
      </c>
      <c r="H51" s="4">
        <v>0</v>
      </c>
      <c r="I51" s="4">
        <v>0</v>
      </c>
      <c r="J51" s="4">
        <v>0</v>
      </c>
      <c r="K51" s="4">
        <v>0</v>
      </c>
      <c r="N51" s="1" t="s">
        <v>16</v>
      </c>
      <c r="O51">
        <v>0.92160000000000031</v>
      </c>
      <c r="P51">
        <v>1.3824000000000001</v>
      </c>
      <c r="Q51">
        <v>1.3823999999999999</v>
      </c>
      <c r="R51">
        <v>0.55585308641975306</v>
      </c>
      <c r="S51">
        <v>1.3823999999999999</v>
      </c>
      <c r="T51">
        <v>2.0735999999999999</v>
      </c>
      <c r="U51">
        <v>2.0735999999999999</v>
      </c>
      <c r="V51">
        <v>0.25443292181069971</v>
      </c>
      <c r="W51" s="7">
        <v>10.026286008230453</v>
      </c>
      <c r="AC51" s="7"/>
    </row>
    <row r="52" spans="1:29" x14ac:dyDescent="0.25">
      <c r="A52" s="7"/>
      <c r="B52" s="4">
        <v>1.1325562651185023E-3</v>
      </c>
      <c r="C52" s="1" t="s">
        <v>17</v>
      </c>
      <c r="D52" s="4">
        <v>0</v>
      </c>
      <c r="E52" s="4">
        <v>0</v>
      </c>
      <c r="F52" s="4">
        <v>0</v>
      </c>
      <c r="G52" s="4">
        <v>0</v>
      </c>
      <c r="H52" s="4">
        <v>0</v>
      </c>
      <c r="I52" s="4">
        <v>0</v>
      </c>
      <c r="J52" s="4">
        <v>0</v>
      </c>
      <c r="K52" s="4">
        <v>0</v>
      </c>
      <c r="N52" s="1" t="s">
        <v>17</v>
      </c>
      <c r="O52">
        <v>3.1248166666666646</v>
      </c>
      <c r="P52">
        <v>0.92160000000000031</v>
      </c>
      <c r="Q52">
        <v>0.92159999999999997</v>
      </c>
      <c r="R52">
        <v>1.3823999999999999</v>
      </c>
      <c r="S52">
        <v>0.92159999999999997</v>
      </c>
      <c r="T52">
        <v>0.10577962962962956</v>
      </c>
      <c r="U52">
        <v>1.3823999999999999</v>
      </c>
      <c r="V52">
        <v>0.55585308641975306</v>
      </c>
      <c r="W52" s="7">
        <v>9.3160493827160451</v>
      </c>
      <c r="AC52" s="7"/>
    </row>
    <row r="53" spans="1:29" x14ac:dyDescent="0.25">
      <c r="A53" s="7"/>
      <c r="B53" s="4">
        <v>1.1316168935945437E-2</v>
      </c>
      <c r="C53" s="1" t="s">
        <v>18</v>
      </c>
      <c r="D53" s="4">
        <v>0</v>
      </c>
      <c r="E53" s="4">
        <v>0</v>
      </c>
      <c r="F53" s="4">
        <v>0</v>
      </c>
      <c r="G53" s="4">
        <v>0</v>
      </c>
      <c r="H53" s="4">
        <v>0</v>
      </c>
      <c r="I53" s="4">
        <v>0</v>
      </c>
      <c r="J53" s="4">
        <v>0</v>
      </c>
      <c r="K53" s="4">
        <v>0</v>
      </c>
      <c r="N53" s="1" t="s">
        <v>18</v>
      </c>
      <c r="O53">
        <v>0.92160000000000031</v>
      </c>
      <c r="P53">
        <v>1.3824000000000001</v>
      </c>
      <c r="Q53">
        <v>1.3823999999999999</v>
      </c>
      <c r="R53">
        <v>2.0735999999999999</v>
      </c>
      <c r="S53">
        <v>1.3823999999999999</v>
      </c>
      <c r="T53">
        <v>0.55585308641975306</v>
      </c>
      <c r="U53">
        <v>2.0735999999999999</v>
      </c>
      <c r="V53">
        <v>0.25443292181069971</v>
      </c>
      <c r="W53" s="7">
        <v>10.026286008230453</v>
      </c>
      <c r="AC53" s="7"/>
    </row>
    <row r="54" spans="1:29" x14ac:dyDescent="0.25">
      <c r="A54" s="7"/>
      <c r="B54" s="4">
        <v>9.0181753887330299E-3</v>
      </c>
      <c r="C54" s="1" t="s">
        <v>19</v>
      </c>
      <c r="D54" s="4">
        <v>0</v>
      </c>
      <c r="E54" s="4">
        <v>0</v>
      </c>
      <c r="F54" s="4">
        <v>0</v>
      </c>
      <c r="G54" s="4">
        <v>0</v>
      </c>
      <c r="H54" s="4">
        <v>0</v>
      </c>
      <c r="I54" s="4">
        <v>0</v>
      </c>
      <c r="J54" s="4">
        <v>0</v>
      </c>
      <c r="K54" s="4">
        <v>0</v>
      </c>
      <c r="N54" s="1" t="s">
        <v>19</v>
      </c>
      <c r="O54">
        <v>6.6694444444444102E-3</v>
      </c>
      <c r="P54">
        <v>1.3824000000000001</v>
      </c>
      <c r="Q54">
        <v>0.10577962962962956</v>
      </c>
      <c r="R54">
        <v>2.0735999999999999</v>
      </c>
      <c r="S54">
        <v>1.3823999999999999</v>
      </c>
      <c r="T54">
        <v>2.0735999999999999</v>
      </c>
      <c r="U54">
        <v>2.0735999999999999</v>
      </c>
      <c r="V54">
        <v>3.918518518518507E-3</v>
      </c>
      <c r="W54" s="7">
        <v>9.101967592592592</v>
      </c>
      <c r="AC54" s="7"/>
    </row>
    <row r="55" spans="1:29" x14ac:dyDescent="0.25">
      <c r="A55" s="7"/>
      <c r="B55" s="4">
        <v>9.0106954803000891E-2</v>
      </c>
      <c r="C55" s="1" t="s">
        <v>20</v>
      </c>
      <c r="D55" s="4">
        <v>0</v>
      </c>
      <c r="E55" s="4">
        <v>0</v>
      </c>
      <c r="F55" s="4">
        <v>0</v>
      </c>
      <c r="G55" s="4">
        <v>0</v>
      </c>
      <c r="H55" s="4">
        <v>0</v>
      </c>
      <c r="I55" s="4">
        <v>0</v>
      </c>
      <c r="J55" s="4">
        <v>0</v>
      </c>
      <c r="K55" s="4">
        <v>0</v>
      </c>
      <c r="N55" s="1" t="s">
        <v>20</v>
      </c>
      <c r="O55">
        <v>1.3824000000000003</v>
      </c>
      <c r="P55">
        <v>0.55585308641975328</v>
      </c>
      <c r="Q55">
        <v>0.55585308641975306</v>
      </c>
      <c r="R55">
        <v>0.25443292181069971</v>
      </c>
      <c r="S55">
        <v>0.55585308641975306</v>
      </c>
      <c r="T55">
        <v>3.918518518518507E-3</v>
      </c>
      <c r="U55">
        <v>3.918518518518507E-3</v>
      </c>
      <c r="V55">
        <v>172.07609382716055</v>
      </c>
      <c r="W55" s="7">
        <v>175.38832304526755</v>
      </c>
      <c r="AC55" s="7"/>
    </row>
    <row r="56" spans="1:29" x14ac:dyDescent="0.25">
      <c r="A56" s="7"/>
      <c r="O56" s="7">
        <v>949.57881944444409</v>
      </c>
      <c r="P56" s="7">
        <v>9.6777391975308635</v>
      </c>
      <c r="Q56" s="7">
        <v>9.3160493827160487</v>
      </c>
      <c r="R56" s="7">
        <v>10.026286008230453</v>
      </c>
      <c r="S56" s="7">
        <v>9.6777391975308618</v>
      </c>
      <c r="T56" s="7">
        <v>8.4991512345679023</v>
      </c>
      <c r="U56" s="7">
        <v>9.101967592592592</v>
      </c>
      <c r="V56" s="7">
        <v>177.15658436213997</v>
      </c>
      <c r="W56" s="22">
        <v>1183.0343364197529</v>
      </c>
      <c r="X56" t="s">
        <v>64</v>
      </c>
      <c r="AC56" s="7"/>
    </row>
    <row r="57" spans="1:29" x14ac:dyDescent="0.25">
      <c r="A57" s="7"/>
      <c r="C57" s="1" t="s">
        <v>29</v>
      </c>
      <c r="D57" s="4">
        <v>0</v>
      </c>
      <c r="E57" s="4">
        <v>0</v>
      </c>
      <c r="F57" s="4">
        <v>0</v>
      </c>
      <c r="G57" s="4">
        <v>0</v>
      </c>
      <c r="H57" s="4">
        <v>0</v>
      </c>
      <c r="I57" s="4">
        <v>0</v>
      </c>
      <c r="J57" s="4">
        <v>0</v>
      </c>
      <c r="K57" s="4">
        <v>0</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9.0106954803000891E-2</v>
      </c>
      <c r="C59" s="1" t="s">
        <v>13</v>
      </c>
      <c r="D59" s="4">
        <v>0</v>
      </c>
      <c r="E59" s="4">
        <v>0</v>
      </c>
      <c r="F59" s="4">
        <v>0</v>
      </c>
      <c r="G59" s="4">
        <v>0</v>
      </c>
      <c r="H59" s="4">
        <v>0</v>
      </c>
      <c r="I59" s="4">
        <v>0</v>
      </c>
      <c r="J59" s="4">
        <v>0</v>
      </c>
      <c r="K59" s="4">
        <v>0</v>
      </c>
      <c r="AC59" s="7"/>
    </row>
    <row r="60" spans="1:29" x14ac:dyDescent="0.25">
      <c r="A60" s="7"/>
      <c r="B60" s="4">
        <v>9.0181753887330299E-3</v>
      </c>
      <c r="C60" s="1" t="s">
        <v>14</v>
      </c>
      <c r="D60" s="4">
        <v>0</v>
      </c>
      <c r="E60" s="4">
        <v>0</v>
      </c>
      <c r="F60" s="4">
        <v>0</v>
      </c>
      <c r="G60" s="4">
        <v>0</v>
      </c>
      <c r="H60" s="4">
        <v>0</v>
      </c>
      <c r="I60" s="4">
        <v>0</v>
      </c>
      <c r="J60" s="4">
        <v>0</v>
      </c>
      <c r="K60" s="4">
        <v>0</v>
      </c>
      <c r="O60" s="23"/>
      <c r="P60" s="23"/>
      <c r="Q60" s="23"/>
      <c r="R60" s="23"/>
      <c r="S60" s="23"/>
      <c r="T60" s="23"/>
      <c r="U60" s="23"/>
      <c r="V60" s="23"/>
      <c r="AC60" s="7"/>
    </row>
    <row r="61" spans="1:29" x14ac:dyDescent="0.25">
      <c r="A61" s="7"/>
      <c r="B61" s="4">
        <v>1.1316168935945437E-2</v>
      </c>
      <c r="C61" s="1" t="s">
        <v>15</v>
      </c>
      <c r="D61" s="4">
        <v>0</v>
      </c>
      <c r="E61" s="4">
        <v>0</v>
      </c>
      <c r="F61" s="4">
        <v>0</v>
      </c>
      <c r="G61" s="4">
        <v>0</v>
      </c>
      <c r="H61" s="4">
        <v>0</v>
      </c>
      <c r="I61" s="4">
        <v>0</v>
      </c>
      <c r="J61" s="4">
        <v>0</v>
      </c>
      <c r="K61" s="4">
        <v>0</v>
      </c>
      <c r="O61" s="23"/>
      <c r="P61" s="23"/>
      <c r="Q61" s="23"/>
      <c r="R61" s="23"/>
      <c r="S61" s="23"/>
      <c r="T61" s="23"/>
      <c r="U61" s="23"/>
      <c r="V61" s="23"/>
      <c r="AC61" s="7"/>
    </row>
    <row r="62" spans="1:29" x14ac:dyDescent="0.25">
      <c r="A62" s="7"/>
      <c r="B62" s="4">
        <v>1.1325562651185023E-3</v>
      </c>
      <c r="C62" s="1" t="s">
        <v>16</v>
      </c>
      <c r="D62" s="4">
        <v>0</v>
      </c>
      <c r="E62" s="4">
        <v>0</v>
      </c>
      <c r="F62" s="4">
        <v>0</v>
      </c>
      <c r="G62" s="4">
        <v>0</v>
      </c>
      <c r="H62" s="4">
        <v>0</v>
      </c>
      <c r="I62" s="4">
        <v>0</v>
      </c>
      <c r="J62" s="4">
        <v>0</v>
      </c>
      <c r="K62" s="4">
        <v>0</v>
      </c>
      <c r="O62" s="23"/>
      <c r="P62" s="23"/>
      <c r="Q62" s="23"/>
      <c r="R62" s="23"/>
      <c r="S62" s="23"/>
      <c r="T62" s="23"/>
      <c r="U62" s="23"/>
      <c r="V62" s="23"/>
      <c r="AC62" s="7"/>
    </row>
    <row r="63" spans="1:29" x14ac:dyDescent="0.25">
      <c r="A63" s="7"/>
      <c r="B63" s="4">
        <v>0.71749223127672768</v>
      </c>
      <c r="C63" s="1" t="s">
        <v>17</v>
      </c>
      <c r="D63" s="4">
        <v>0</v>
      </c>
      <c r="E63" s="4">
        <v>0</v>
      </c>
      <c r="F63" s="4">
        <v>0</v>
      </c>
      <c r="G63" s="4">
        <v>0</v>
      </c>
      <c r="H63" s="4">
        <v>0</v>
      </c>
      <c r="I63" s="4">
        <v>0</v>
      </c>
      <c r="J63" s="4">
        <v>0</v>
      </c>
      <c r="K63" s="4">
        <v>0</v>
      </c>
      <c r="O63" s="23"/>
      <c r="P63" s="23"/>
      <c r="Q63" s="23"/>
      <c r="R63" s="23"/>
      <c r="S63" s="23"/>
      <c r="T63" s="23"/>
      <c r="U63" s="23"/>
      <c r="V63" s="23"/>
      <c r="AC63" s="7"/>
    </row>
    <row r="64" spans="1:29" x14ac:dyDescent="0.25">
      <c r="A64" s="7"/>
      <c r="B64" s="4">
        <v>7.1808783193852227E-2</v>
      </c>
      <c r="C64" s="1" t="s">
        <v>18</v>
      </c>
      <c r="D64" s="4">
        <v>0</v>
      </c>
      <c r="E64" s="4">
        <v>0</v>
      </c>
      <c r="F64" s="4">
        <v>0</v>
      </c>
      <c r="G64" s="4">
        <v>0</v>
      </c>
      <c r="H64" s="4">
        <v>0</v>
      </c>
      <c r="I64" s="4">
        <v>0</v>
      </c>
      <c r="J64" s="4">
        <v>0</v>
      </c>
      <c r="K64" s="4">
        <v>0</v>
      </c>
      <c r="O64" s="23"/>
      <c r="P64" s="23"/>
      <c r="Q64" s="23"/>
      <c r="R64" s="23"/>
      <c r="S64" s="23"/>
      <c r="T64" s="23"/>
      <c r="U64" s="23"/>
      <c r="V64" s="23"/>
      <c r="AC64" s="7"/>
    </row>
    <row r="65" spans="1:29" x14ac:dyDescent="0.25">
      <c r="A65" s="7"/>
      <c r="B65" s="4">
        <v>9.010695475290309E-2</v>
      </c>
      <c r="C65" s="1" t="s">
        <v>19</v>
      </c>
      <c r="D65" s="4">
        <v>0</v>
      </c>
      <c r="E65" s="4">
        <v>0</v>
      </c>
      <c r="F65" s="4">
        <v>0</v>
      </c>
      <c r="G65" s="4">
        <v>0</v>
      </c>
      <c r="H65" s="4">
        <v>0</v>
      </c>
      <c r="I65" s="4">
        <v>0</v>
      </c>
      <c r="J65" s="4">
        <v>0</v>
      </c>
      <c r="K65" s="4">
        <v>0</v>
      </c>
      <c r="O65" s="23"/>
      <c r="P65" s="23"/>
      <c r="Q65" s="23"/>
      <c r="R65" s="23"/>
      <c r="S65" s="23"/>
      <c r="T65" s="23"/>
      <c r="U65" s="23"/>
      <c r="V65" s="23"/>
      <c r="AC65" s="7"/>
    </row>
    <row r="66" spans="1:29" x14ac:dyDescent="0.25">
      <c r="A66" s="7"/>
      <c r="B66" s="4">
        <v>9.018175383719091E-3</v>
      </c>
      <c r="C66" s="1" t="s">
        <v>20</v>
      </c>
      <c r="D66" s="4">
        <v>0</v>
      </c>
      <c r="E66" s="4">
        <v>0</v>
      </c>
      <c r="F66" s="4">
        <v>0</v>
      </c>
      <c r="G66" s="4">
        <v>0</v>
      </c>
      <c r="H66" s="4">
        <v>0</v>
      </c>
      <c r="I66" s="4">
        <v>0</v>
      </c>
      <c r="J66" s="4">
        <v>0</v>
      </c>
      <c r="K66" s="4">
        <v>0</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0</v>
      </c>
      <c r="E68" s="4">
        <v>0</v>
      </c>
      <c r="F68" s="4">
        <v>0</v>
      </c>
      <c r="G68" s="4">
        <v>0</v>
      </c>
      <c r="H68" s="4">
        <v>0</v>
      </c>
      <c r="I68" s="4">
        <v>0</v>
      </c>
      <c r="J68" s="4">
        <v>0</v>
      </c>
      <c r="K68" s="4">
        <v>0</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9.0181753887330299E-3</v>
      </c>
      <c r="C70" s="1" t="s">
        <v>13</v>
      </c>
      <c r="D70" s="4">
        <v>0</v>
      </c>
      <c r="E70" s="4">
        <v>0</v>
      </c>
      <c r="F70" s="4">
        <v>0</v>
      </c>
      <c r="G70" s="4">
        <v>0</v>
      </c>
      <c r="H70" s="4">
        <v>0</v>
      </c>
      <c r="I70" s="4">
        <v>0</v>
      </c>
      <c r="J70" s="4">
        <v>0</v>
      </c>
      <c r="K70" s="4">
        <v>0</v>
      </c>
      <c r="AC70" s="7"/>
    </row>
    <row r="71" spans="1:29" x14ac:dyDescent="0.25">
      <c r="A71" s="7"/>
      <c r="B71" s="4">
        <v>9.0106954803000891E-2</v>
      </c>
      <c r="C71" s="1" t="s">
        <v>14</v>
      </c>
      <c r="D71" s="4">
        <v>0</v>
      </c>
      <c r="E71" s="4">
        <v>0</v>
      </c>
      <c r="F71" s="4">
        <v>0</v>
      </c>
      <c r="G71" s="4">
        <v>0</v>
      </c>
      <c r="H71" s="4">
        <v>0</v>
      </c>
      <c r="I71" s="4">
        <v>0</v>
      </c>
      <c r="J71" s="4">
        <v>0</v>
      </c>
      <c r="K71" s="4">
        <v>0</v>
      </c>
      <c r="AC71" s="7"/>
    </row>
    <row r="72" spans="1:29" x14ac:dyDescent="0.25">
      <c r="A72" s="7"/>
      <c r="B72" s="4">
        <v>1.1325562651185023E-3</v>
      </c>
      <c r="C72" s="1" t="s">
        <v>15</v>
      </c>
      <c r="D72" s="4">
        <v>0</v>
      </c>
      <c r="E72" s="4">
        <v>0</v>
      </c>
      <c r="F72" s="4">
        <v>0</v>
      </c>
      <c r="G72" s="4">
        <v>0</v>
      </c>
      <c r="H72" s="4">
        <v>0</v>
      </c>
      <c r="I72" s="4">
        <v>0</v>
      </c>
      <c r="J72" s="4">
        <v>0</v>
      </c>
      <c r="K72" s="4">
        <v>0</v>
      </c>
      <c r="AC72" s="7"/>
    </row>
    <row r="73" spans="1:29" x14ac:dyDescent="0.25">
      <c r="A73" s="7"/>
      <c r="B73" s="4">
        <v>1.1316168935945437E-2</v>
      </c>
      <c r="C73" s="1" t="s">
        <v>16</v>
      </c>
      <c r="D73" s="4">
        <v>0</v>
      </c>
      <c r="E73" s="4">
        <v>0</v>
      </c>
      <c r="F73" s="4">
        <v>0</v>
      </c>
      <c r="G73" s="4">
        <v>0</v>
      </c>
      <c r="H73" s="4">
        <v>0</v>
      </c>
      <c r="I73" s="4">
        <v>0</v>
      </c>
      <c r="J73" s="4">
        <v>0</v>
      </c>
      <c r="K73" s="4">
        <v>0</v>
      </c>
      <c r="AC73" s="7"/>
    </row>
    <row r="74" spans="1:29" x14ac:dyDescent="0.25">
      <c r="A74" s="7"/>
      <c r="B74" s="4">
        <v>7.1808783193852227E-2</v>
      </c>
      <c r="C74" s="1" t="s">
        <v>17</v>
      </c>
      <c r="D74" s="4">
        <v>0</v>
      </c>
      <c r="E74" s="4">
        <v>0</v>
      </c>
      <c r="F74" s="4">
        <v>0</v>
      </c>
      <c r="G74" s="4">
        <v>0</v>
      </c>
      <c r="H74" s="4">
        <v>0</v>
      </c>
      <c r="I74" s="4">
        <v>0</v>
      </c>
      <c r="J74" s="4">
        <v>0</v>
      </c>
      <c r="K74" s="4">
        <v>0</v>
      </c>
      <c r="AC74" s="7"/>
    </row>
    <row r="75" spans="1:29" x14ac:dyDescent="0.25">
      <c r="A75" s="7"/>
      <c r="B75" s="4">
        <v>0.71749223127672768</v>
      </c>
      <c r="C75" s="1" t="s">
        <v>18</v>
      </c>
      <c r="D75" s="4">
        <v>0</v>
      </c>
      <c r="E75" s="4">
        <v>0</v>
      </c>
      <c r="F75" s="4">
        <v>0</v>
      </c>
      <c r="G75" s="4">
        <v>0</v>
      </c>
      <c r="H75" s="4">
        <v>0</v>
      </c>
      <c r="I75" s="4">
        <v>0</v>
      </c>
      <c r="J75" s="4">
        <v>0</v>
      </c>
      <c r="K75" s="4">
        <v>0</v>
      </c>
      <c r="AC75" s="7"/>
    </row>
    <row r="76" spans="1:29" x14ac:dyDescent="0.25">
      <c r="A76" s="7"/>
      <c r="B76" s="4">
        <v>9.018175383719091E-3</v>
      </c>
      <c r="C76" s="1" t="s">
        <v>19</v>
      </c>
      <c r="D76" s="4">
        <v>0</v>
      </c>
      <c r="E76" s="4">
        <v>0</v>
      </c>
      <c r="F76" s="4">
        <v>0</v>
      </c>
      <c r="G76" s="4">
        <v>0</v>
      </c>
      <c r="H76" s="4">
        <v>0</v>
      </c>
      <c r="I76" s="4">
        <v>0</v>
      </c>
      <c r="J76" s="4">
        <v>0</v>
      </c>
      <c r="K76" s="4">
        <v>0</v>
      </c>
      <c r="AC76" s="7"/>
    </row>
    <row r="77" spans="1:29" x14ac:dyDescent="0.25">
      <c r="A77" s="7"/>
      <c r="B77" s="4">
        <v>9.010695475290309E-2</v>
      </c>
      <c r="C77" s="1" t="s">
        <v>20</v>
      </c>
      <c r="D77" s="4">
        <v>0</v>
      </c>
      <c r="E77" s="4">
        <v>0</v>
      </c>
      <c r="F77" s="4">
        <v>0</v>
      </c>
      <c r="G77" s="4">
        <v>0</v>
      </c>
      <c r="H77" s="4">
        <v>0</v>
      </c>
      <c r="I77" s="4">
        <v>0</v>
      </c>
      <c r="J77" s="4">
        <v>0</v>
      </c>
      <c r="K77" s="4">
        <v>0</v>
      </c>
      <c r="AC77" s="7"/>
    </row>
    <row r="78" spans="1:29" x14ac:dyDescent="0.25">
      <c r="A78" s="7"/>
      <c r="AC78" s="7"/>
    </row>
    <row r="79" spans="1:29" x14ac:dyDescent="0.25">
      <c r="A79" s="7"/>
      <c r="C79" s="1" t="s">
        <v>31</v>
      </c>
      <c r="D79" s="4">
        <v>0</v>
      </c>
      <c r="E79" s="4">
        <v>0</v>
      </c>
      <c r="F79" s="4">
        <v>0</v>
      </c>
      <c r="G79" s="4">
        <v>0</v>
      </c>
      <c r="H79" s="4">
        <v>0</v>
      </c>
      <c r="I79" s="4">
        <v>0</v>
      </c>
      <c r="J79" s="4">
        <v>0</v>
      </c>
      <c r="K79" s="4">
        <v>0</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1.1316168935945437E-2</v>
      </c>
      <c r="C81" s="1" t="s">
        <v>13</v>
      </c>
      <c r="D81" s="4">
        <v>0</v>
      </c>
      <c r="E81" s="4">
        <v>0</v>
      </c>
      <c r="F81" s="4">
        <v>0</v>
      </c>
      <c r="G81" s="4">
        <v>0</v>
      </c>
      <c r="H81" s="4">
        <v>0</v>
      </c>
      <c r="I81" s="4">
        <v>0</v>
      </c>
      <c r="J81" s="4">
        <v>0</v>
      </c>
      <c r="K81" s="4">
        <v>0</v>
      </c>
      <c r="AC81" s="7"/>
    </row>
    <row r="82" spans="1:29" x14ac:dyDescent="0.25">
      <c r="A82" s="7"/>
      <c r="B82" s="4">
        <v>1.1325562651185023E-3</v>
      </c>
      <c r="C82" s="1" t="s">
        <v>14</v>
      </c>
      <c r="D82" s="4">
        <v>0</v>
      </c>
      <c r="E82" s="4">
        <v>0</v>
      </c>
      <c r="F82" s="4">
        <v>0</v>
      </c>
      <c r="G82" s="4">
        <v>0</v>
      </c>
      <c r="H82" s="4">
        <v>0</v>
      </c>
      <c r="I82" s="4">
        <v>0</v>
      </c>
      <c r="J82" s="4">
        <v>0</v>
      </c>
      <c r="K82" s="4">
        <v>0</v>
      </c>
      <c r="AC82" s="7"/>
    </row>
    <row r="83" spans="1:29" x14ac:dyDescent="0.25">
      <c r="A83" s="7"/>
      <c r="B83" s="4">
        <v>9.0106954803000891E-2</v>
      </c>
      <c r="C83" s="1" t="s">
        <v>15</v>
      </c>
      <c r="D83" s="4">
        <v>0</v>
      </c>
      <c r="E83" s="4">
        <v>0</v>
      </c>
      <c r="F83" s="4">
        <v>0</v>
      </c>
      <c r="G83" s="4">
        <v>0</v>
      </c>
      <c r="H83" s="4">
        <v>0</v>
      </c>
      <c r="I83" s="4">
        <v>0</v>
      </c>
      <c r="J83" s="4">
        <v>0</v>
      </c>
      <c r="K83" s="4">
        <v>0</v>
      </c>
      <c r="AC83" s="7"/>
    </row>
    <row r="84" spans="1:29" x14ac:dyDescent="0.25">
      <c r="A84" s="7"/>
      <c r="B84" s="4">
        <v>9.0181753887330299E-3</v>
      </c>
      <c r="C84" s="1" t="s">
        <v>16</v>
      </c>
      <c r="D84" s="4">
        <v>0</v>
      </c>
      <c r="E84" s="4">
        <v>0</v>
      </c>
      <c r="F84" s="4">
        <v>0</v>
      </c>
      <c r="G84" s="4">
        <v>0</v>
      </c>
      <c r="H84" s="4">
        <v>0</v>
      </c>
      <c r="I84" s="4">
        <v>0</v>
      </c>
      <c r="J84" s="4">
        <v>0</v>
      </c>
      <c r="K84" s="4">
        <v>0</v>
      </c>
      <c r="AC84" s="7"/>
    </row>
    <row r="85" spans="1:29" x14ac:dyDescent="0.25">
      <c r="A85" s="7"/>
      <c r="B85" s="4">
        <v>9.010695475290309E-2</v>
      </c>
      <c r="C85" s="1" t="s">
        <v>17</v>
      </c>
      <c r="D85" s="4">
        <v>0</v>
      </c>
      <c r="E85" s="4">
        <v>0</v>
      </c>
      <c r="F85" s="4">
        <v>0</v>
      </c>
      <c r="G85" s="4">
        <v>0</v>
      </c>
      <c r="H85" s="4">
        <v>0</v>
      </c>
      <c r="I85" s="4">
        <v>0</v>
      </c>
      <c r="J85" s="4">
        <v>0</v>
      </c>
      <c r="K85" s="4">
        <v>0</v>
      </c>
      <c r="AC85" s="7"/>
    </row>
    <row r="86" spans="1:29" x14ac:dyDescent="0.25">
      <c r="A86" s="7"/>
      <c r="B86" s="4">
        <v>9.018175383719091E-3</v>
      </c>
      <c r="C86" s="1" t="s">
        <v>18</v>
      </c>
      <c r="D86" s="4">
        <v>0</v>
      </c>
      <c r="E86" s="4">
        <v>0</v>
      </c>
      <c r="F86" s="4">
        <v>0</v>
      </c>
      <c r="G86" s="4">
        <v>0</v>
      </c>
      <c r="H86" s="4">
        <v>0</v>
      </c>
      <c r="I86" s="4">
        <v>0</v>
      </c>
      <c r="J86" s="4">
        <v>0</v>
      </c>
      <c r="K86" s="4">
        <v>0</v>
      </c>
      <c r="AC86" s="7"/>
    </row>
    <row r="87" spans="1:29" x14ac:dyDescent="0.25">
      <c r="A87" s="7"/>
      <c r="B87" s="4">
        <v>0.71749223127672768</v>
      </c>
      <c r="C87" s="1" t="s">
        <v>19</v>
      </c>
      <c r="D87" s="4">
        <v>0</v>
      </c>
      <c r="E87" s="4">
        <v>0</v>
      </c>
      <c r="F87" s="4">
        <v>0</v>
      </c>
      <c r="G87" s="4">
        <v>0</v>
      </c>
      <c r="H87" s="4">
        <v>0</v>
      </c>
      <c r="I87" s="4">
        <v>0</v>
      </c>
      <c r="J87" s="4">
        <v>0</v>
      </c>
      <c r="K87" s="4">
        <v>0</v>
      </c>
      <c r="AC87" s="7"/>
    </row>
    <row r="88" spans="1:29" x14ac:dyDescent="0.25">
      <c r="A88" s="7"/>
      <c r="B88" s="4">
        <v>7.1808783193852227E-2</v>
      </c>
      <c r="C88" s="1" t="s">
        <v>20</v>
      </c>
      <c r="D88" s="4">
        <v>0</v>
      </c>
      <c r="E88" s="4">
        <v>0</v>
      </c>
      <c r="F88" s="4">
        <v>0</v>
      </c>
      <c r="G88" s="4">
        <v>0</v>
      </c>
      <c r="H88" s="4">
        <v>0</v>
      </c>
      <c r="I88" s="4">
        <v>0</v>
      </c>
      <c r="J88" s="4">
        <v>0</v>
      </c>
      <c r="K88" s="4">
        <v>0</v>
      </c>
      <c r="AC88" s="7"/>
    </row>
    <row r="89" spans="1:29" x14ac:dyDescent="0.25">
      <c r="A89" s="7"/>
      <c r="AC89" s="7"/>
    </row>
    <row r="90" spans="1:29" x14ac:dyDescent="0.25">
      <c r="A90" s="7"/>
      <c r="C90" s="1" t="s">
        <v>32</v>
      </c>
      <c r="D90" s="4">
        <v>7.0409681931259387E-4</v>
      </c>
      <c r="E90" s="4">
        <v>7.0351282315934066E-3</v>
      </c>
      <c r="F90" s="4">
        <v>5.6064928540620089E-3</v>
      </c>
      <c r="G90" s="4">
        <v>5.6018426835595901E-2</v>
      </c>
      <c r="H90" s="4">
        <v>5.6064928509449025E-3</v>
      </c>
      <c r="I90" s="4">
        <v>5.6018426804450697E-2</v>
      </c>
      <c r="J90" s="4">
        <v>4.4642670216661365E-2</v>
      </c>
      <c r="K90" s="4">
        <v>0.44605642428774273</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1.1325562651185023E-3</v>
      </c>
      <c r="C92" s="1" t="s">
        <v>13</v>
      </c>
      <c r="D92" s="4">
        <v>7.9742926396248824E-7</v>
      </c>
      <c r="E92" s="4">
        <v>7.9676785546031619E-6</v>
      </c>
      <c r="F92" s="4">
        <v>6.349668607210041E-6</v>
      </c>
      <c r="G92" s="4">
        <v>6.3444020274736572E-5</v>
      </c>
      <c r="H92" s="4">
        <v>6.3496686036797423E-6</v>
      </c>
      <c r="I92" s="4">
        <v>6.3444020239462881E-5</v>
      </c>
      <c r="J92" s="4">
        <v>5.0560335845498998E-5</v>
      </c>
      <c r="K92" s="4">
        <v>5.0518399792343993E-4</v>
      </c>
      <c r="AC92" s="7"/>
    </row>
    <row r="93" spans="1:29" x14ac:dyDescent="0.25">
      <c r="A93" s="7"/>
      <c r="B93" s="4">
        <v>1.1316168935945437E-2</v>
      </c>
      <c r="C93" s="1" t="s">
        <v>14</v>
      </c>
      <c r="D93" s="4">
        <v>7.9676785546031619E-6</v>
      </c>
      <c r="E93" s="4">
        <v>7.961069955475007E-5</v>
      </c>
      <c r="F93" s="4">
        <v>6.3444020274736586E-5</v>
      </c>
      <c r="G93" s="4">
        <v>6.3391398159750255E-4</v>
      </c>
      <c r="H93" s="4">
        <v>6.3444020239462881E-5</v>
      </c>
      <c r="I93" s="4">
        <v>6.3391398124505824E-4</v>
      </c>
      <c r="J93" s="4">
        <v>5.0518399792343993E-4</v>
      </c>
      <c r="K93" s="4">
        <v>5.0476498522038522E-3</v>
      </c>
      <c r="AC93" s="7"/>
    </row>
    <row r="94" spans="1:29" x14ac:dyDescent="0.25">
      <c r="A94" s="7"/>
      <c r="B94" s="4">
        <v>9.0181753887330299E-3</v>
      </c>
      <c r="C94" s="1" t="s">
        <v>15</v>
      </c>
      <c r="D94" s="4">
        <v>6.349668607210041E-6</v>
      </c>
      <c r="E94" s="4">
        <v>6.3444020274736586E-5</v>
      </c>
      <c r="F94" s="4">
        <v>5.0560335873609609E-5</v>
      </c>
      <c r="G94" s="4">
        <v>5.0518399820431291E-4</v>
      </c>
      <c r="H94" s="4">
        <v>5.0560335845498998E-5</v>
      </c>
      <c r="I94" s="4">
        <v>5.0518399792343993E-4</v>
      </c>
      <c r="J94" s="4">
        <v>4.0259542983522059E-4</v>
      </c>
      <c r="K94" s="4">
        <v>4.0226150674979796E-3</v>
      </c>
      <c r="AC94" s="7"/>
    </row>
    <row r="95" spans="1:29" x14ac:dyDescent="0.25">
      <c r="A95" s="7"/>
      <c r="B95" s="4">
        <v>9.0106954803000891E-2</v>
      </c>
      <c r="C95" s="1" t="s">
        <v>16</v>
      </c>
      <c r="D95" s="4">
        <v>6.3444020274736586E-5</v>
      </c>
      <c r="E95" s="4">
        <v>6.3391398159750266E-4</v>
      </c>
      <c r="F95" s="4">
        <v>5.0518399820431291E-4</v>
      </c>
      <c r="G95" s="4">
        <v>5.0476498550102522E-3</v>
      </c>
      <c r="H95" s="4">
        <v>5.0518399792343993E-4</v>
      </c>
      <c r="I95" s="4">
        <v>5.0476498522038522E-3</v>
      </c>
      <c r="J95" s="4">
        <v>4.0226150674979796E-3</v>
      </c>
      <c r="K95" s="4">
        <v>4.0192786062883824E-2</v>
      </c>
      <c r="AC95" s="7"/>
    </row>
    <row r="96" spans="1:29" x14ac:dyDescent="0.25">
      <c r="A96" s="7"/>
      <c r="B96" s="4">
        <v>9.018175383719091E-3</v>
      </c>
      <c r="C96" s="1" t="s">
        <v>17</v>
      </c>
      <c r="D96" s="4">
        <v>6.3496686036797423E-6</v>
      </c>
      <c r="E96" s="4">
        <v>6.3444020239462881E-5</v>
      </c>
      <c r="F96" s="4">
        <v>5.0560335845498998E-5</v>
      </c>
      <c r="G96" s="4">
        <v>5.0518399792343993E-4</v>
      </c>
      <c r="H96" s="4">
        <v>5.0560335817388387E-5</v>
      </c>
      <c r="I96" s="4">
        <v>5.0518399764256695E-4</v>
      </c>
      <c r="J96" s="4">
        <v>4.0259542961138494E-4</v>
      </c>
      <c r="K96" s="4">
        <v>4.0226150652614796E-3</v>
      </c>
      <c r="AC96" s="7"/>
    </row>
    <row r="97" spans="1:29" x14ac:dyDescent="0.25">
      <c r="A97" s="7"/>
      <c r="B97" s="4">
        <v>9.010695475290309E-2</v>
      </c>
      <c r="C97" s="1" t="s">
        <v>18</v>
      </c>
      <c r="D97" s="4">
        <v>6.3444020239462881E-5</v>
      </c>
      <c r="E97" s="4">
        <v>6.3391398124505824E-4</v>
      </c>
      <c r="F97" s="4">
        <v>5.0518399792343993E-4</v>
      </c>
      <c r="G97" s="4">
        <v>5.0476498522038522E-3</v>
      </c>
      <c r="H97" s="4">
        <v>5.0518399764256695E-4</v>
      </c>
      <c r="I97" s="4">
        <v>5.047649849397453E-3</v>
      </c>
      <c r="J97" s="4">
        <v>4.0226150652614796E-3</v>
      </c>
      <c r="K97" s="4">
        <v>4.019278604053738E-2</v>
      </c>
      <c r="AC97" s="7"/>
    </row>
    <row r="98" spans="1:29" x14ac:dyDescent="0.25">
      <c r="A98" s="7"/>
      <c r="B98" s="4">
        <v>7.1808783193852227E-2</v>
      </c>
      <c r="C98" s="1" t="s">
        <v>19</v>
      </c>
      <c r="D98" s="4">
        <v>5.0560335845498998E-5</v>
      </c>
      <c r="E98" s="4">
        <v>5.0518399792343993E-4</v>
      </c>
      <c r="F98" s="4">
        <v>4.0259542983522059E-4</v>
      </c>
      <c r="G98" s="4">
        <v>4.0226150674979796E-3</v>
      </c>
      <c r="H98" s="4">
        <v>4.0259542961138499E-4</v>
      </c>
      <c r="I98" s="4">
        <v>4.0226150652614805E-3</v>
      </c>
      <c r="J98" s="4">
        <v>3.2057358267828799E-3</v>
      </c>
      <c r="K98" s="4">
        <v>3.203076906390348E-2</v>
      </c>
      <c r="AC98" s="7"/>
    </row>
    <row r="99" spans="1:29" x14ac:dyDescent="0.25">
      <c r="A99" s="7"/>
      <c r="B99" s="4">
        <v>0.71749223127672768</v>
      </c>
      <c r="C99" s="1" t="s">
        <v>20</v>
      </c>
      <c r="D99" s="4">
        <v>5.0518399792343993E-4</v>
      </c>
      <c r="E99" s="4">
        <v>5.047649852203853E-3</v>
      </c>
      <c r="F99" s="4">
        <v>4.0226150674979796E-3</v>
      </c>
      <c r="G99" s="4">
        <v>4.0192786062883824E-2</v>
      </c>
      <c r="H99" s="4">
        <v>4.0226150652614805E-3</v>
      </c>
      <c r="I99" s="4">
        <v>4.019278604053738E-2</v>
      </c>
      <c r="J99" s="4">
        <v>3.203076906390348E-2</v>
      </c>
      <c r="K99" s="4">
        <v>0.32004201913753128</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0.1947538802156181</v>
      </c>
      <c r="E103" s="4">
        <v>1.9499442691816214E-2</v>
      </c>
      <c r="F103" s="4">
        <v>2.4464603644949044E-2</v>
      </c>
      <c r="G103" s="4">
        <v>2.5112997328892964E-3</v>
      </c>
      <c r="H103" s="4">
        <v>2.4464603658543849E-2</v>
      </c>
      <c r="I103" s="4">
        <v>2.5112997342149855E-3</v>
      </c>
      <c r="J103" s="4">
        <v>3.1221737827046192E-3</v>
      </c>
      <c r="K103" s="4">
        <v>8.1260032167699582E-4</v>
      </c>
      <c r="L103" s="7">
        <v>0.27213990378241315</v>
      </c>
      <c r="AC103" s="7"/>
    </row>
    <row r="104" spans="1:29" x14ac:dyDescent="0.25">
      <c r="A104" s="7"/>
      <c r="C104" s="1" t="s">
        <v>14</v>
      </c>
      <c r="D104" s="4">
        <v>1.9499442691816214E-2</v>
      </c>
      <c r="E104" s="4">
        <v>2.0303762163675172E-3</v>
      </c>
      <c r="F104" s="4">
        <v>2.5112997328892964E-3</v>
      </c>
      <c r="G104" s="4">
        <v>8.7890275289637457E-4</v>
      </c>
      <c r="H104" s="4">
        <v>2.5112997342149855E-3</v>
      </c>
      <c r="I104" s="4">
        <v>8.7890275268013933E-4</v>
      </c>
      <c r="J104" s="4">
        <v>8.1260032167699582E-4</v>
      </c>
      <c r="K104" s="4">
        <v>5.0784170036521524E-3</v>
      </c>
      <c r="L104" s="7">
        <v>3.4201241206193674E-2</v>
      </c>
      <c r="T104" s="6"/>
      <c r="AC104" s="7"/>
    </row>
    <row r="105" spans="1:29" x14ac:dyDescent="0.25">
      <c r="A105" s="7"/>
      <c r="C105" s="1" t="s">
        <v>15</v>
      </c>
      <c r="D105" s="4">
        <v>2.446460364494905E-2</v>
      </c>
      <c r="E105" s="4">
        <v>2.5112997328892968E-3</v>
      </c>
      <c r="F105" s="4">
        <v>3.1221737810249693E-3</v>
      </c>
      <c r="G105" s="4">
        <v>8.1260032178695095E-4</v>
      </c>
      <c r="H105" s="4">
        <v>3.1221737827046188E-3</v>
      </c>
      <c r="I105" s="4">
        <v>8.1260032167699572E-4</v>
      </c>
      <c r="J105" s="4">
        <v>7.8834697084081973E-4</v>
      </c>
      <c r="K105" s="4">
        <v>4.0612222433909851E-3</v>
      </c>
      <c r="L105" s="7">
        <v>3.9695020799263681E-2</v>
      </c>
      <c r="AC105" s="7"/>
    </row>
    <row r="106" spans="1:29" x14ac:dyDescent="0.25">
      <c r="A106" s="7"/>
      <c r="C106" s="1" t="s">
        <v>16</v>
      </c>
      <c r="D106" s="4">
        <v>2.5112997328892968E-3</v>
      </c>
      <c r="E106" s="4">
        <v>8.7890275289637457E-4</v>
      </c>
      <c r="F106" s="4">
        <v>8.1260032178695095E-4</v>
      </c>
      <c r="G106" s="4">
        <v>5.0784170064414472E-3</v>
      </c>
      <c r="H106" s="4">
        <v>8.1260032167699572E-4</v>
      </c>
      <c r="I106" s="4">
        <v>5.0784170036521524E-3</v>
      </c>
      <c r="J106" s="4">
        <v>4.0612222433909851E-3</v>
      </c>
      <c r="K106" s="4">
        <v>4.0196649985310542E-2</v>
      </c>
      <c r="L106" s="7">
        <v>5.9430109368044742E-2</v>
      </c>
      <c r="AC106" s="7"/>
    </row>
    <row r="107" spans="1:29" x14ac:dyDescent="0.25">
      <c r="A107" s="7"/>
      <c r="C107" s="1" t="s">
        <v>17</v>
      </c>
      <c r="D107" s="4">
        <v>2.4464603658543853E-2</v>
      </c>
      <c r="E107" s="4">
        <v>2.5112997342149859E-3</v>
      </c>
      <c r="F107" s="4">
        <v>3.1221737827046188E-3</v>
      </c>
      <c r="G107" s="4">
        <v>8.1260032167699572E-4</v>
      </c>
      <c r="H107" s="4">
        <v>3.1221737843842687E-3</v>
      </c>
      <c r="I107" s="4">
        <v>8.1260032156704059E-4</v>
      </c>
      <c r="J107" s="4">
        <v>7.8834697083145482E-4</v>
      </c>
      <c r="K107" s="4">
        <v>4.0612222411759496E-3</v>
      </c>
      <c r="L107" s="7">
        <v>3.9695020815099166E-2</v>
      </c>
      <c r="AC107" s="7"/>
    </row>
    <row r="108" spans="1:29" x14ac:dyDescent="0.25">
      <c r="A108" s="7"/>
      <c r="C108" s="1" t="s">
        <v>18</v>
      </c>
      <c r="D108" s="4">
        <v>2.5112997342149859E-3</v>
      </c>
      <c r="E108" s="4">
        <v>8.7890275268013944E-4</v>
      </c>
      <c r="F108" s="4">
        <v>8.1260032167699572E-4</v>
      </c>
      <c r="G108" s="4">
        <v>5.0784170036521524E-3</v>
      </c>
      <c r="H108" s="4">
        <v>8.1260032156704059E-4</v>
      </c>
      <c r="I108" s="4">
        <v>5.0784170008628593E-3</v>
      </c>
      <c r="J108" s="4">
        <v>4.0612222411759496E-3</v>
      </c>
      <c r="K108" s="4">
        <v>4.0196649962966249E-2</v>
      </c>
      <c r="L108" s="7">
        <v>5.9430109338796375E-2</v>
      </c>
      <c r="AC108" s="7"/>
    </row>
    <row r="109" spans="1:29" x14ac:dyDescent="0.25">
      <c r="A109" s="7"/>
      <c r="C109" s="1" t="s">
        <v>19</v>
      </c>
      <c r="D109" s="4">
        <v>3.1221737827046192E-3</v>
      </c>
      <c r="E109" s="4">
        <v>8.1260032167699582E-4</v>
      </c>
      <c r="F109" s="4">
        <v>7.8834697084081973E-4</v>
      </c>
      <c r="G109" s="4">
        <v>4.0612222433909851E-3</v>
      </c>
      <c r="H109" s="4">
        <v>7.8834697083145482E-4</v>
      </c>
      <c r="I109" s="4">
        <v>4.0612222411759505E-3</v>
      </c>
      <c r="J109" s="4">
        <v>3.2541808066103668E-3</v>
      </c>
      <c r="K109" s="4">
        <v>3.2035617583373963E-2</v>
      </c>
      <c r="L109" s="7">
        <v>4.8923710920605157E-2</v>
      </c>
      <c r="AC109" s="7"/>
    </row>
    <row r="110" spans="1:29" x14ac:dyDescent="0.25">
      <c r="A110" s="7"/>
      <c r="C110" s="1" t="s">
        <v>20</v>
      </c>
      <c r="D110" s="4">
        <v>8.1260032167699582E-4</v>
      </c>
      <c r="E110" s="4">
        <v>5.0784170036521532E-3</v>
      </c>
      <c r="F110" s="4">
        <v>4.0612222433909851E-3</v>
      </c>
      <c r="G110" s="4">
        <v>4.0196649985310542E-2</v>
      </c>
      <c r="H110" s="4">
        <v>4.0612222411759505E-3</v>
      </c>
      <c r="I110" s="4">
        <v>4.0196649962966249E-2</v>
      </c>
      <c r="J110" s="4">
        <v>3.2035617583373963E-2</v>
      </c>
      <c r="K110" s="4">
        <v>0.32004250439196091</v>
      </c>
      <c r="L110" s="7">
        <v>0.44648488373350775</v>
      </c>
      <c r="AC110" s="7"/>
    </row>
    <row r="111" spans="1:29" x14ac:dyDescent="0.25">
      <c r="A111" s="7"/>
      <c r="D111" s="3">
        <v>0.27213990378241315</v>
      </c>
      <c r="E111" s="3">
        <v>3.4201241206193674E-2</v>
      </c>
      <c r="F111" s="3">
        <v>3.9695020799263681E-2</v>
      </c>
      <c r="G111" s="3">
        <v>5.9430109368044742E-2</v>
      </c>
      <c r="H111" s="3">
        <v>3.9695020815099159E-2</v>
      </c>
      <c r="I111" s="3">
        <v>5.9430109338796375E-2</v>
      </c>
      <c r="J111" s="3">
        <v>4.8923710920605157E-2</v>
      </c>
      <c r="K111" s="3">
        <v>0.44648488373350775</v>
      </c>
      <c r="L111" s="7">
        <v>0.99999999996392375</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0.59453372480800837</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0.59453372482142131</v>
      </c>
      <c r="R114" t="s">
        <v>58</v>
      </c>
      <c r="W114" s="1" t="s">
        <v>45</v>
      </c>
      <c r="X114" s="7" t="s">
        <v>47</v>
      </c>
      <c r="Y114" s="7" t="s">
        <v>48</v>
      </c>
      <c r="Z114" s="7" t="s">
        <v>49</v>
      </c>
      <c r="AA114" s="7" t="s">
        <v>50</v>
      </c>
      <c r="AB114" s="7"/>
      <c r="AC114" s="7"/>
    </row>
    <row r="115" spans="1:29" x14ac:dyDescent="0.25">
      <c r="A115" s="7"/>
      <c r="C115" s="1" t="s">
        <v>13</v>
      </c>
      <c r="D115" s="5">
        <v>19.475388021561809</v>
      </c>
      <c r="E115" s="5">
        <v>1.9499442691816213</v>
      </c>
      <c r="F115" s="5">
        <v>2.4464603644949046</v>
      </c>
      <c r="G115" s="5">
        <v>0.25112997328892966</v>
      </c>
      <c r="H115" s="5">
        <v>2.4464603658543851</v>
      </c>
      <c r="I115" s="5">
        <v>0.25112997342149856</v>
      </c>
      <c r="J115" s="5">
        <v>0.31221737827046192</v>
      </c>
      <c r="K115" s="5">
        <v>8.1260032167699586E-2</v>
      </c>
      <c r="L115" s="13">
        <v>27.213990378241306</v>
      </c>
      <c r="N115" t="s">
        <v>38</v>
      </c>
      <c r="O115" s="8">
        <v>0.59954634364654258</v>
      </c>
      <c r="W115" s="1" t="s">
        <v>13</v>
      </c>
      <c r="X115" s="5">
        <v>27.213990378241306</v>
      </c>
      <c r="Y115" s="5">
        <v>19.475388021561809</v>
      </c>
      <c r="Z115" s="5">
        <v>7.7386023566794968</v>
      </c>
      <c r="AA115" s="8">
        <v>1.413156583150646E-2</v>
      </c>
      <c r="AB115" s="8">
        <v>7.0495086340963742E-2</v>
      </c>
      <c r="AC115" s="7"/>
    </row>
    <row r="116" spans="1:29" x14ac:dyDescent="0.25">
      <c r="A116" s="7"/>
      <c r="C116" s="1" t="s">
        <v>14</v>
      </c>
      <c r="D116" s="5">
        <v>1.9499442691816213</v>
      </c>
      <c r="E116" s="5">
        <v>0.20303762163675171</v>
      </c>
      <c r="F116" s="5">
        <v>0.25112997328892966</v>
      </c>
      <c r="G116" s="5">
        <v>8.7890275289637457E-2</v>
      </c>
      <c r="H116" s="5">
        <v>0.25112997342149856</v>
      </c>
      <c r="I116" s="5">
        <v>8.7890275268013934E-2</v>
      </c>
      <c r="J116" s="5">
        <v>8.1260032167699586E-2</v>
      </c>
      <c r="K116" s="5">
        <v>0.50784170036521525</v>
      </c>
      <c r="L116" s="13">
        <v>3.4201241206193673</v>
      </c>
      <c r="M116" s="10" t="s">
        <v>39</v>
      </c>
      <c r="N116" s="10">
        <v>1</v>
      </c>
      <c r="O116" s="10">
        <v>2</v>
      </c>
      <c r="P116" s="10" t="s">
        <v>39</v>
      </c>
      <c r="Q116" s="10">
        <v>1</v>
      </c>
      <c r="R116" s="10">
        <v>2</v>
      </c>
      <c r="S116" s="10" t="s">
        <v>11</v>
      </c>
      <c r="T116" s="10" t="s">
        <v>42</v>
      </c>
      <c r="U116" s="10" t="s">
        <v>43</v>
      </c>
      <c r="V116" s="10"/>
      <c r="W116" s="1" t="s">
        <v>14</v>
      </c>
      <c r="X116" s="5">
        <v>3.4201241206193673</v>
      </c>
      <c r="Y116" s="5">
        <v>0.20303762163675171</v>
      </c>
      <c r="Z116" s="5">
        <v>3.2170864989826158</v>
      </c>
      <c r="AA116" s="8">
        <v>0.20303762163675171</v>
      </c>
      <c r="AB116" s="8">
        <v>0.19053064015193269</v>
      </c>
      <c r="AC116" s="7"/>
    </row>
    <row r="117" spans="1:29" x14ac:dyDescent="0.25">
      <c r="A117" s="7"/>
      <c r="C117" s="1" t="s">
        <v>15</v>
      </c>
      <c r="D117" s="5">
        <v>2.446460364494905</v>
      </c>
      <c r="E117" s="5">
        <v>0.25112997328892966</v>
      </c>
      <c r="F117" s="5">
        <v>0.31221737810249695</v>
      </c>
      <c r="G117" s="5">
        <v>8.1260032178695096E-2</v>
      </c>
      <c r="H117" s="5">
        <v>0.31221737827046186</v>
      </c>
      <c r="I117" s="5">
        <v>8.1260032167699572E-2</v>
      </c>
      <c r="J117" s="5">
        <v>7.8834697084081973E-2</v>
      </c>
      <c r="K117" s="5">
        <v>0.4061222243390985</v>
      </c>
      <c r="L117" s="13">
        <v>3.9695020799263689</v>
      </c>
      <c r="M117" s="10">
        <v>1</v>
      </c>
      <c r="N117" s="5">
        <v>30.634114497390634</v>
      </c>
      <c r="O117" s="5">
        <v>9.9125130182008832</v>
      </c>
      <c r="P117" s="10">
        <v>1</v>
      </c>
      <c r="Q117">
        <v>1.3125928475433053E-2</v>
      </c>
      <c r="R117">
        <v>7.7215252784688861E-4</v>
      </c>
      <c r="S117" s="12">
        <v>1.892550958751292E-2</v>
      </c>
      <c r="T117">
        <v>0.10941974688597306</v>
      </c>
      <c r="U117">
        <v>0.890580253114027</v>
      </c>
      <c r="W117" s="1" t="s">
        <v>15</v>
      </c>
      <c r="X117" s="5">
        <v>3.9695020799263689</v>
      </c>
      <c r="Y117" s="5">
        <v>0.31221737810249695</v>
      </c>
      <c r="Z117" s="5">
        <v>3.6572847018238721</v>
      </c>
      <c r="AA117" s="8">
        <v>0.31221737810249695</v>
      </c>
      <c r="AB117" s="8">
        <v>3.2115021164575611E-2</v>
      </c>
      <c r="AC117" s="7"/>
    </row>
    <row r="118" spans="1:29" x14ac:dyDescent="0.25">
      <c r="A118" s="7"/>
      <c r="C118" s="1" t="s">
        <v>16</v>
      </c>
      <c r="D118" s="5">
        <v>0.25112997328892966</v>
      </c>
      <c r="E118" s="5">
        <v>8.7890275289637457E-2</v>
      </c>
      <c r="F118" s="5">
        <v>8.1260032178695096E-2</v>
      </c>
      <c r="G118" s="5">
        <v>0.50784170064414469</v>
      </c>
      <c r="H118" s="5">
        <v>8.1260032167699572E-2</v>
      </c>
      <c r="I118" s="5">
        <v>0.50784170036521525</v>
      </c>
      <c r="J118" s="5">
        <v>0.4061222243390985</v>
      </c>
      <c r="K118" s="5">
        <v>4.019664998531054</v>
      </c>
      <c r="L118" s="13">
        <v>5.9430109368044741</v>
      </c>
      <c r="M118" s="10">
        <v>2</v>
      </c>
      <c r="N118" s="5">
        <v>9.9125130182008832</v>
      </c>
      <c r="O118" s="5">
        <v>49.540859462599968</v>
      </c>
      <c r="P118" s="10">
        <v>2</v>
      </c>
      <c r="Q118">
        <v>7.7215252784688861E-4</v>
      </c>
      <c r="R118">
        <v>4.2552760563860899E-3</v>
      </c>
      <c r="W118" s="1" t="s">
        <v>16</v>
      </c>
      <c r="X118" s="5">
        <v>5.9430109368044741</v>
      </c>
      <c r="Y118" s="5">
        <v>0.50784170064414469</v>
      </c>
      <c r="Z118" s="5">
        <v>5.4351692361603297</v>
      </c>
      <c r="AA118" s="8">
        <v>0.47695924008921858</v>
      </c>
      <c r="AB118" s="8">
        <v>0.37895981650722338</v>
      </c>
      <c r="AC118" s="7"/>
    </row>
    <row r="119" spans="1:29" x14ac:dyDescent="0.25">
      <c r="A119" s="7"/>
      <c r="C119" s="1" t="s">
        <v>17</v>
      </c>
      <c r="D119" s="5">
        <v>2.4464603658543851</v>
      </c>
      <c r="E119" s="5">
        <v>0.25112997342149862</v>
      </c>
      <c r="F119" s="5">
        <v>0.31221737827046186</v>
      </c>
      <c r="G119" s="5">
        <v>8.1260032167699572E-2</v>
      </c>
      <c r="H119" s="5">
        <v>0.3122173784384269</v>
      </c>
      <c r="I119" s="5">
        <v>8.1260032156704062E-2</v>
      </c>
      <c r="J119" s="5">
        <v>7.8834697083145486E-2</v>
      </c>
      <c r="K119" s="5">
        <v>0.40612222411759497</v>
      </c>
      <c r="L119" s="13">
        <v>3.9695020815099165</v>
      </c>
      <c r="M119" s="10" t="s">
        <v>40</v>
      </c>
      <c r="N119" s="10">
        <v>1</v>
      </c>
      <c r="O119" s="10">
        <v>2</v>
      </c>
      <c r="P119" s="10" t="s">
        <v>40</v>
      </c>
      <c r="Q119" s="10">
        <v>1</v>
      </c>
      <c r="R119" s="10">
        <v>2</v>
      </c>
      <c r="S119" s="10" t="s">
        <v>11</v>
      </c>
      <c r="T119" s="10" t="s">
        <v>42</v>
      </c>
      <c r="U119" s="10" t="s">
        <v>43</v>
      </c>
      <c r="W119" s="1" t="s">
        <v>17</v>
      </c>
      <c r="X119" s="5">
        <v>3.9695020815099165</v>
      </c>
      <c r="Y119" s="5">
        <v>0.3122173784384269</v>
      </c>
      <c r="Z119" s="5">
        <v>3.6572847030714897</v>
      </c>
      <c r="AA119" s="8">
        <v>0.3122173784384269</v>
      </c>
      <c r="AB119" s="8">
        <v>3.2115020919797697E-2</v>
      </c>
      <c r="AC119" s="7"/>
    </row>
    <row r="120" spans="1:29" x14ac:dyDescent="0.25">
      <c r="A120" s="7"/>
      <c r="C120" s="1" t="s">
        <v>18</v>
      </c>
      <c r="D120" s="5">
        <v>0.25112997342149862</v>
      </c>
      <c r="E120" s="5">
        <v>8.7890275268013948E-2</v>
      </c>
      <c r="F120" s="5">
        <v>8.1260032167699572E-2</v>
      </c>
      <c r="G120" s="5">
        <v>0.50784170036521525</v>
      </c>
      <c r="H120" s="5">
        <v>8.1260032156704062E-2</v>
      </c>
      <c r="I120" s="5">
        <v>0.50784170008628593</v>
      </c>
      <c r="J120" s="5">
        <v>0.40612222411759497</v>
      </c>
      <c r="K120" s="5">
        <v>4.0196649962966253</v>
      </c>
      <c r="L120" s="13">
        <v>5.9430109338796377</v>
      </c>
      <c r="M120" s="10">
        <v>1</v>
      </c>
      <c r="N120" s="5">
        <v>30.63411450033071</v>
      </c>
      <c r="O120" s="5">
        <v>9.912513013919515</v>
      </c>
      <c r="P120" s="10">
        <v>1</v>
      </c>
      <c r="Q120">
        <v>4.3700365116413091E-3</v>
      </c>
      <c r="R120">
        <v>8.400291625374888E-2</v>
      </c>
      <c r="S120" s="12">
        <v>0.21535233560307576</v>
      </c>
      <c r="T120">
        <v>0.35739574438557914</v>
      </c>
      <c r="U120">
        <v>0.64260425561442092</v>
      </c>
      <c r="W120" s="1" t="s">
        <v>18</v>
      </c>
      <c r="X120" s="5">
        <v>5.9430109338796377</v>
      </c>
      <c r="Y120" s="5">
        <v>0.50784170008628593</v>
      </c>
      <c r="Z120" s="5">
        <v>5.4351692337933519</v>
      </c>
      <c r="AA120" s="8">
        <v>0.47695924169441473</v>
      </c>
      <c r="AB120" s="8">
        <v>0.37895981542224566</v>
      </c>
      <c r="AC120" s="7"/>
    </row>
    <row r="121" spans="1:29" x14ac:dyDescent="0.25">
      <c r="A121" s="7"/>
      <c r="C121" s="1" t="s">
        <v>19</v>
      </c>
      <c r="D121" s="5">
        <v>0.31221737827046192</v>
      </c>
      <c r="E121" s="5">
        <v>8.1260032167699586E-2</v>
      </c>
      <c r="F121" s="5">
        <v>7.8834697084081973E-2</v>
      </c>
      <c r="G121" s="5">
        <v>0.4061222243390985</v>
      </c>
      <c r="H121" s="5">
        <v>7.8834697083145486E-2</v>
      </c>
      <c r="I121" s="5">
        <v>0.40612222411759502</v>
      </c>
      <c r="J121" s="5">
        <v>0.32541808066103667</v>
      </c>
      <c r="K121" s="5">
        <v>3.2035617583373961</v>
      </c>
      <c r="L121" s="13">
        <v>4.8923710920605155</v>
      </c>
      <c r="M121" s="10">
        <v>2</v>
      </c>
      <c r="N121" s="5">
        <v>9.912513013919515</v>
      </c>
      <c r="O121" s="5">
        <v>49.540859468222621</v>
      </c>
      <c r="P121" s="10">
        <v>2</v>
      </c>
      <c r="Q121">
        <v>8.400291625374888E-2</v>
      </c>
      <c r="R121">
        <v>4.2976466583936682E-2</v>
      </c>
      <c r="W121" s="1" t="s">
        <v>19</v>
      </c>
      <c r="X121" s="5">
        <v>4.8923710920605155</v>
      </c>
      <c r="Y121" s="5">
        <v>0.32541808066103667</v>
      </c>
      <c r="Z121" s="5">
        <v>4.5669530113994785</v>
      </c>
      <c r="AA121" s="8">
        <v>0.32541808066103667</v>
      </c>
      <c r="AB121" s="8">
        <v>4.1062321829870185E-2</v>
      </c>
      <c r="AC121" s="7"/>
    </row>
    <row r="122" spans="1:29" x14ac:dyDescent="0.25">
      <c r="A122" s="7"/>
      <c r="C122" s="1" t="s">
        <v>20</v>
      </c>
      <c r="D122" s="5">
        <v>8.1260032167699586E-2</v>
      </c>
      <c r="E122" s="5">
        <v>0.50784170036521536</v>
      </c>
      <c r="F122" s="5">
        <v>0.4061222243390985</v>
      </c>
      <c r="G122" s="5">
        <v>4.019664998531054</v>
      </c>
      <c r="H122" s="5">
        <v>0.40612222411759502</v>
      </c>
      <c r="I122" s="5">
        <v>4.0196649962966253</v>
      </c>
      <c r="J122" s="5">
        <v>3.2035617583373961</v>
      </c>
      <c r="K122" s="5">
        <v>32.004250439196092</v>
      </c>
      <c r="L122" s="13">
        <v>44.648488373350773</v>
      </c>
      <c r="M122" s="10" t="s">
        <v>41</v>
      </c>
      <c r="N122" s="10">
        <v>1</v>
      </c>
      <c r="O122" s="10">
        <v>2</v>
      </c>
      <c r="P122" s="10" t="s">
        <v>41</v>
      </c>
      <c r="Q122" s="10">
        <v>1</v>
      </c>
      <c r="R122" s="10">
        <v>2</v>
      </c>
      <c r="S122" s="10" t="s">
        <v>11</v>
      </c>
      <c r="T122" s="10" t="s">
        <v>42</v>
      </c>
      <c r="U122" s="10" t="s">
        <v>43</v>
      </c>
      <c r="W122" s="1" t="s">
        <v>20</v>
      </c>
      <c r="X122" s="5">
        <v>44.648488373350773</v>
      </c>
      <c r="Y122" s="5">
        <v>32.004250439196092</v>
      </c>
      <c r="Z122" s="5">
        <v>12.644237934154681</v>
      </c>
      <c r="AA122" s="8">
        <v>3.0980797057719868E-2</v>
      </c>
      <c r="AB122" s="8">
        <v>1.0009828046073581E-2</v>
      </c>
      <c r="AC122" s="7"/>
    </row>
    <row r="123" spans="1:29" x14ac:dyDescent="0.25">
      <c r="A123" s="7"/>
      <c r="D123" s="13">
        <v>27.213990378241306</v>
      </c>
      <c r="E123" s="13">
        <v>3.4201241206193673</v>
      </c>
      <c r="F123" s="13">
        <v>3.9695020799263681</v>
      </c>
      <c r="G123" s="13">
        <v>5.9430109368044741</v>
      </c>
      <c r="H123" s="13">
        <v>3.9695020815099165</v>
      </c>
      <c r="I123" s="13">
        <v>5.9430109338796377</v>
      </c>
      <c r="J123" s="13">
        <v>4.8923710920605155</v>
      </c>
      <c r="K123" s="13">
        <v>44.648488373350773</v>
      </c>
      <c r="L123" s="1">
        <v>99.999999996392361</v>
      </c>
      <c r="M123" s="10">
        <v>1</v>
      </c>
      <c r="N123" s="5">
        <v>31.775290620878646</v>
      </c>
      <c r="O123" s="5">
        <v>8.2700750108594576</v>
      </c>
      <c r="P123" s="10">
        <v>1</v>
      </c>
      <c r="Q123">
        <v>1.8916445296882575E-2</v>
      </c>
      <c r="R123">
        <v>6.4423900517493762E-2</v>
      </c>
      <c r="S123" s="12">
        <v>0.15683120007447837</v>
      </c>
      <c r="T123">
        <v>0.30790912959351951</v>
      </c>
      <c r="U123">
        <v>0.69209087040648054</v>
      </c>
      <c r="W123" s="1" t="s">
        <v>59</v>
      </c>
      <c r="X123" s="7">
        <v>99.999999996392361</v>
      </c>
      <c r="Y123" s="7">
        <v>53.648212320327048</v>
      </c>
      <c r="Z123" s="7">
        <v>46.351787676065314</v>
      </c>
      <c r="AA123" s="7">
        <v>2.1519213035115716</v>
      </c>
      <c r="AB123" s="7">
        <v>1.1342475503826825</v>
      </c>
      <c r="AC123" s="11">
        <v>3.2861688538942539</v>
      </c>
    </row>
    <row r="124" spans="1:29" x14ac:dyDescent="0.25">
      <c r="A124" s="7"/>
      <c r="M124" s="10">
        <v>2</v>
      </c>
      <c r="N124" s="5">
        <v>8.2700750108594576</v>
      </c>
      <c r="O124" s="5">
        <v>51.684559353794796</v>
      </c>
      <c r="P124" s="10">
        <v>2</v>
      </c>
      <c r="Q124">
        <v>6.4423900517493762E-2</v>
      </c>
      <c r="R124">
        <v>9.0669537426082709E-3</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0.53161515820661442</v>
      </c>
      <c r="E127" s="8">
        <v>5.0692776599128103E-2</v>
      </c>
      <c r="F127" s="8">
        <v>-0.40299010030906662</v>
      </c>
      <c r="G127" s="8">
        <v>0</v>
      </c>
      <c r="H127" s="8">
        <v>-0.40299010142045238</v>
      </c>
      <c r="I127" s="8">
        <v>0</v>
      </c>
      <c r="J127" s="8">
        <v>1.1640556085471581</v>
      </c>
      <c r="K127" s="8">
        <v>0</v>
      </c>
      <c r="L127" s="14">
        <v>0.94038334162338155</v>
      </c>
      <c r="AC127" s="7"/>
    </row>
    <row r="128" spans="1:29" x14ac:dyDescent="0.25">
      <c r="A128" s="7"/>
      <c r="C128" s="1" t="s">
        <v>14</v>
      </c>
      <c r="D128" s="8">
        <v>5.0692776599128103E-2</v>
      </c>
      <c r="E128" s="8">
        <v>0</v>
      </c>
      <c r="F128" s="8">
        <v>0</v>
      </c>
      <c r="G128" s="8">
        <v>0</v>
      </c>
      <c r="H128" s="8">
        <v>1.3817846514776966</v>
      </c>
      <c r="I128" s="8">
        <v>0</v>
      </c>
      <c r="J128" s="8">
        <v>2.5101009925612074</v>
      </c>
      <c r="K128" s="8">
        <v>0</v>
      </c>
      <c r="L128" s="14">
        <v>3.9425784206380321</v>
      </c>
      <c r="AC128" s="7"/>
    </row>
    <row r="129" spans="1:29" x14ac:dyDescent="0.25">
      <c r="A129" s="7"/>
      <c r="C129" s="1" t="s">
        <v>15</v>
      </c>
      <c r="D129" s="8">
        <v>-0.4029901003090669</v>
      </c>
      <c r="E129" s="8">
        <v>1.3817846520055861</v>
      </c>
      <c r="F129" s="8">
        <v>0</v>
      </c>
      <c r="G129" s="8">
        <v>0</v>
      </c>
      <c r="H129" s="8">
        <v>0</v>
      </c>
      <c r="I129" s="8">
        <v>0</v>
      </c>
      <c r="J129" s="8">
        <v>0</v>
      </c>
      <c r="K129" s="8">
        <v>0.90110111951521599</v>
      </c>
      <c r="L129" s="14">
        <v>1.8798956712117352</v>
      </c>
      <c r="AC129" s="7"/>
    </row>
    <row r="130" spans="1:29" x14ac:dyDescent="0.25">
      <c r="A130" s="7"/>
      <c r="C130" s="1" t="s">
        <v>16</v>
      </c>
      <c r="D130" s="8">
        <v>0</v>
      </c>
      <c r="E130" s="8">
        <v>0</v>
      </c>
      <c r="F130" s="8">
        <v>0</v>
      </c>
      <c r="G130" s="8">
        <v>0.67758549287027203</v>
      </c>
      <c r="H130" s="8">
        <v>0</v>
      </c>
      <c r="I130" s="8">
        <v>0</v>
      </c>
      <c r="J130" s="8">
        <v>0</v>
      </c>
      <c r="K130" s="8">
        <v>-1.9616817359402978E-2</v>
      </c>
      <c r="L130" s="14">
        <v>0.65796867551086902</v>
      </c>
      <c r="AC130" s="7"/>
    </row>
    <row r="131" spans="1:29" x14ac:dyDescent="0.25">
      <c r="A131" s="7"/>
      <c r="C131" s="1" t="s">
        <v>17</v>
      </c>
      <c r="D131" s="8">
        <v>-0.40299010142045238</v>
      </c>
      <c r="E131" s="8">
        <v>0</v>
      </c>
      <c r="F131" s="8">
        <v>0</v>
      </c>
      <c r="G131" s="8">
        <v>0</v>
      </c>
      <c r="H131" s="8">
        <v>0</v>
      </c>
      <c r="I131" s="8">
        <v>2.5101009926965201</v>
      </c>
      <c r="J131" s="8">
        <v>0</v>
      </c>
      <c r="K131" s="8">
        <v>0.90110112006062704</v>
      </c>
      <c r="L131" s="14">
        <v>3.0082120113366946</v>
      </c>
      <c r="AC131" s="7"/>
    </row>
    <row r="132" spans="1:29" x14ac:dyDescent="0.25">
      <c r="A132" s="7"/>
      <c r="C132" s="1" t="s">
        <v>18</v>
      </c>
      <c r="D132" s="8">
        <v>0</v>
      </c>
      <c r="E132" s="8">
        <v>0</v>
      </c>
      <c r="F132" s="8">
        <v>0</v>
      </c>
      <c r="G132" s="8">
        <v>0</v>
      </c>
      <c r="H132" s="8">
        <v>0</v>
      </c>
      <c r="I132" s="8">
        <v>0.67758549396876144</v>
      </c>
      <c r="J132" s="8">
        <v>0</v>
      </c>
      <c r="K132" s="8">
        <v>-1.9616815135905321E-2</v>
      </c>
      <c r="L132" s="14">
        <v>0.65796867883285615</v>
      </c>
      <c r="AC132" s="7"/>
    </row>
    <row r="133" spans="1:29" x14ac:dyDescent="0.25">
      <c r="A133" s="7"/>
      <c r="C133" s="1" t="s">
        <v>19</v>
      </c>
      <c r="D133" s="8">
        <v>1.1640556085471581</v>
      </c>
      <c r="E133" s="8">
        <v>0</v>
      </c>
      <c r="F133" s="8">
        <v>2.5404020607040572</v>
      </c>
      <c r="G133" s="8">
        <v>0</v>
      </c>
      <c r="H133" s="8">
        <v>0</v>
      </c>
      <c r="I133" s="8">
        <v>0</v>
      </c>
      <c r="J133" s="8">
        <v>0</v>
      </c>
      <c r="K133" s="8">
        <v>-0.19695285491308728</v>
      </c>
      <c r="L133" s="14">
        <v>3.5075048143381276</v>
      </c>
      <c r="AC133" s="7"/>
    </row>
    <row r="134" spans="1:29" x14ac:dyDescent="0.25">
      <c r="A134" s="7"/>
      <c r="C134" s="1" t="s">
        <v>20</v>
      </c>
      <c r="D134" s="8">
        <v>0</v>
      </c>
      <c r="E134" s="8">
        <v>0.67758549341951657</v>
      </c>
      <c r="F134" s="8">
        <v>0.90110111951521599</v>
      </c>
      <c r="G134" s="8">
        <v>-1.9616817359402978E-2</v>
      </c>
      <c r="H134" s="8">
        <v>0.90110112006062693</v>
      </c>
      <c r="I134" s="8">
        <v>-0.87775882870727195</v>
      </c>
      <c r="J134" s="8">
        <v>-0.19695285491308728</v>
      </c>
      <c r="K134" s="8">
        <v>1.0110817616624295</v>
      </c>
      <c r="L134" s="14">
        <v>2.3965409936780269</v>
      </c>
      <c r="AC134" s="7"/>
    </row>
    <row r="135" spans="1:29" x14ac:dyDescent="0.25">
      <c r="A135" s="7"/>
      <c r="D135" s="14">
        <v>0.94038334162338133</v>
      </c>
      <c r="E135" s="14">
        <v>2.1100629220242308</v>
      </c>
      <c r="F135" s="14">
        <v>3.0385130799102065</v>
      </c>
      <c r="G135" s="14">
        <v>0.65796867551086902</v>
      </c>
      <c r="H135" s="14">
        <v>1.8798956701178711</v>
      </c>
      <c r="I135" s="14">
        <v>2.3099276579580099</v>
      </c>
      <c r="J135" s="14">
        <v>3.4772037461952783</v>
      </c>
      <c r="K135" s="14">
        <v>2.5770975138298771</v>
      </c>
      <c r="L135" s="2">
        <v>33.982105214339448</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1.413156583150646E-2</v>
      </c>
      <c r="E140" s="8">
        <v>1.2849475892013863E-3</v>
      </c>
      <c r="F140" s="8">
        <v>8.1475612667886402E-2</v>
      </c>
      <c r="G140" s="8">
        <v>0.25112997328892966</v>
      </c>
      <c r="H140" s="8">
        <v>8.1475613118800652E-2</v>
      </c>
      <c r="I140" s="8">
        <v>0.25112997342149856</v>
      </c>
      <c r="J140" s="8">
        <v>1.5151140444955506</v>
      </c>
      <c r="K140" s="8">
        <v>8.1260032167699586E-2</v>
      </c>
      <c r="L140" s="15">
        <v>2.2770017625810732</v>
      </c>
      <c r="AC140" s="7"/>
    </row>
    <row r="141" spans="1:29" x14ac:dyDescent="0.25">
      <c r="A141" s="7"/>
      <c r="C141" s="1" t="s">
        <v>14</v>
      </c>
      <c r="D141" s="8">
        <v>1.2849475892013863E-3</v>
      </c>
      <c r="E141" s="8">
        <v>0.20303762163675171</v>
      </c>
      <c r="F141" s="8">
        <v>0.25112997328892966</v>
      </c>
      <c r="G141" s="8">
        <v>8.7890275289637457E-2</v>
      </c>
      <c r="H141" s="8">
        <v>2.2331317487396203</v>
      </c>
      <c r="I141" s="8">
        <v>8.7890275268013934E-2</v>
      </c>
      <c r="J141" s="8">
        <v>10.387432861834563</v>
      </c>
      <c r="K141" s="8">
        <v>0.50784170036521525</v>
      </c>
      <c r="L141" s="15">
        <v>13.759639404011933</v>
      </c>
      <c r="AC141" s="7"/>
    </row>
    <row r="142" spans="1:29" x14ac:dyDescent="0.25">
      <c r="A142" s="7"/>
      <c r="C142" s="1" t="s">
        <v>15</v>
      </c>
      <c r="D142" s="8">
        <v>8.1475612667886554E-2</v>
      </c>
      <c r="E142" s="8">
        <v>2.2331317507091089</v>
      </c>
      <c r="F142" s="8">
        <v>0.31221737810249695</v>
      </c>
      <c r="G142" s="8">
        <v>8.1260032178695096E-2</v>
      </c>
      <c r="H142" s="8">
        <v>0.31221737827046186</v>
      </c>
      <c r="I142" s="8">
        <v>8.1260032167699572E-2</v>
      </c>
      <c r="J142" s="8">
        <v>7.8834697084081973E-2</v>
      </c>
      <c r="K142" s="8">
        <v>0.8684351441192123</v>
      </c>
      <c r="L142" s="15">
        <v>4.0488320252996433</v>
      </c>
      <c r="AC142" s="7"/>
    </row>
    <row r="143" spans="1:29" x14ac:dyDescent="0.25">
      <c r="A143" s="7"/>
      <c r="C143" s="1" t="s">
        <v>16</v>
      </c>
      <c r="D143" s="8">
        <v>0.25112997328892966</v>
      </c>
      <c r="E143" s="8">
        <v>8.7890275289637457E-2</v>
      </c>
      <c r="F143" s="8">
        <v>8.1260032178695096E-2</v>
      </c>
      <c r="G143" s="8">
        <v>0.47695924008921858</v>
      </c>
      <c r="H143" s="8">
        <v>8.1260032167699572E-2</v>
      </c>
      <c r="I143" s="8">
        <v>0.50784170036521525</v>
      </c>
      <c r="J143" s="8">
        <v>0.4061222243390985</v>
      </c>
      <c r="K143" s="8">
        <v>9.6205073648593793E-5</v>
      </c>
      <c r="L143" s="15">
        <v>1.8925596827921427</v>
      </c>
      <c r="AC143" s="7"/>
    </row>
    <row r="144" spans="1:29" x14ac:dyDescent="0.25">
      <c r="A144" s="7"/>
      <c r="C144" s="1" t="s">
        <v>17</v>
      </c>
      <c r="D144" s="8">
        <v>8.1475613118800652E-2</v>
      </c>
      <c r="E144" s="8">
        <v>0.25112997342149862</v>
      </c>
      <c r="F144" s="8">
        <v>0.31221737827046186</v>
      </c>
      <c r="G144" s="8">
        <v>8.1260032167699572E-2</v>
      </c>
      <c r="H144" s="8">
        <v>0.3122173784384269</v>
      </c>
      <c r="I144" s="8">
        <v>10.387432863488749</v>
      </c>
      <c r="J144" s="8">
        <v>7.8834697083145486E-2</v>
      </c>
      <c r="K144" s="8">
        <v>0.86843514524068122</v>
      </c>
      <c r="L144" s="15">
        <v>12.373003081229465</v>
      </c>
      <c r="AC144" s="7"/>
    </row>
    <row r="145" spans="1:29" x14ac:dyDescent="0.25">
      <c r="A145" s="7"/>
      <c r="C145" s="1" t="s">
        <v>18</v>
      </c>
      <c r="D145" s="8">
        <v>0.25112997342149862</v>
      </c>
      <c r="E145" s="8">
        <v>8.7890275268013948E-2</v>
      </c>
      <c r="F145" s="8">
        <v>8.1260032167699572E-2</v>
      </c>
      <c r="G145" s="8">
        <v>0.50784170036521525</v>
      </c>
      <c r="H145" s="8">
        <v>8.1260032156704062E-2</v>
      </c>
      <c r="I145" s="8">
        <v>0.47695924169441473</v>
      </c>
      <c r="J145" s="8">
        <v>0.40612222411759491</v>
      </c>
      <c r="K145" s="8">
        <v>9.6205051839536656E-5</v>
      </c>
      <c r="L145" s="15">
        <v>1.8925596842429808</v>
      </c>
      <c r="AC145" s="7"/>
    </row>
    <row r="146" spans="1:29" x14ac:dyDescent="0.25">
      <c r="A146" s="7"/>
      <c r="C146" s="1" t="s">
        <v>19</v>
      </c>
      <c r="D146" s="8">
        <v>1.5151140444955506</v>
      </c>
      <c r="E146" s="8">
        <v>8.1260032167699586E-2</v>
      </c>
      <c r="F146" s="8">
        <v>10.763604690345293</v>
      </c>
      <c r="G146" s="8">
        <v>0.4061222243390985</v>
      </c>
      <c r="H146" s="8">
        <v>7.8834697083145486E-2</v>
      </c>
      <c r="I146" s="8">
        <v>0.40612222411759502</v>
      </c>
      <c r="J146" s="8">
        <v>0.32541808066103667</v>
      </c>
      <c r="K146" s="8">
        <v>1.2934787147327502E-2</v>
      </c>
      <c r="L146" s="15">
        <v>13.589410780356747</v>
      </c>
      <c r="AC146" s="7"/>
    </row>
    <row r="147" spans="1:29" x14ac:dyDescent="0.25">
      <c r="A147" s="7"/>
      <c r="C147" s="1" t="s">
        <v>20</v>
      </c>
      <c r="D147" s="8">
        <v>8.1260032167699586E-2</v>
      </c>
      <c r="E147" s="8">
        <v>0.47695924089181652</v>
      </c>
      <c r="F147" s="8">
        <v>0.8684351441192123</v>
      </c>
      <c r="G147" s="8">
        <v>9.6205073648593793E-5</v>
      </c>
      <c r="H147" s="8">
        <v>0.86843514524068111</v>
      </c>
      <c r="I147" s="8">
        <v>0.25865755122143336</v>
      </c>
      <c r="J147" s="8">
        <v>1.2934787147327502E-2</v>
      </c>
      <c r="K147" s="8">
        <v>3.0980797057719868E-2</v>
      </c>
      <c r="L147" s="15">
        <v>2.5977589029195389</v>
      </c>
      <c r="N147">
        <v>0.50374198856963814</v>
      </c>
      <c r="AC147" s="7"/>
    </row>
    <row r="148" spans="1:29" x14ac:dyDescent="0.25">
      <c r="A148" s="7"/>
      <c r="B148" s="7"/>
      <c r="C148" s="7"/>
      <c r="D148" s="15">
        <v>2.2770017625810737</v>
      </c>
      <c r="E148" s="15">
        <v>3.4225841169737281</v>
      </c>
      <c r="F148" s="15">
        <v>12.751600241140675</v>
      </c>
      <c r="G148" s="15">
        <v>1.8925596827921427</v>
      </c>
      <c r="H148" s="15">
        <v>4.0488320252155399</v>
      </c>
      <c r="I148" s="15">
        <v>12.457293861744621</v>
      </c>
      <c r="J148" s="15">
        <v>13.210813616762399</v>
      </c>
      <c r="K148" s="15">
        <v>2.3700800162233437</v>
      </c>
      <c r="L148" s="16">
        <v>52.430765323433519</v>
      </c>
      <c r="M148" t="s">
        <v>11</v>
      </c>
      <c r="N148" s="7">
        <v>0.49625801143036186</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workbookViewId="0">
      <selection activeCell="L18" sqref="L18"/>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0.10143276838694373</v>
      </c>
      <c r="B2" s="19">
        <v>0.10434855339237517</v>
      </c>
      <c r="C2" s="19">
        <v>8.995795422285395E-2</v>
      </c>
      <c r="D2" s="19">
        <v>0.12771765447558325</v>
      </c>
      <c r="E2" s="19">
        <v>0</v>
      </c>
      <c r="F2" s="19">
        <v>0</v>
      </c>
      <c r="G2" s="19">
        <v>0.2554888524091094</v>
      </c>
      <c r="H2" s="19">
        <v>0.24216773729810373</v>
      </c>
      <c r="I2" s="19">
        <v>0</v>
      </c>
      <c r="J2" s="19">
        <v>1.1355568000664876E-2</v>
      </c>
      <c r="K2" s="19">
        <v>0.36327018892794966</v>
      </c>
      <c r="L2" s="1">
        <v>1.000000001111411</v>
      </c>
      <c r="N2" t="s">
        <v>36</v>
      </c>
      <c r="O2" s="4">
        <v>0.6</v>
      </c>
      <c r="P2" s="4">
        <v>0.59</v>
      </c>
      <c r="AC2" s="7"/>
    </row>
    <row r="3" spans="1:29" x14ac:dyDescent="0.25">
      <c r="A3" t="s">
        <v>79</v>
      </c>
      <c r="B3" s="21">
        <v>1.6589763901800991</v>
      </c>
      <c r="C3" s="18" t="s">
        <v>12</v>
      </c>
      <c r="D3" s="1" t="s">
        <v>13</v>
      </c>
      <c r="E3" s="1" t="s">
        <v>14</v>
      </c>
      <c r="F3" s="1" t="s">
        <v>15</v>
      </c>
      <c r="G3" s="1" t="s">
        <v>16</v>
      </c>
      <c r="H3" s="1" t="s">
        <v>17</v>
      </c>
      <c r="I3" s="1" t="s">
        <v>18</v>
      </c>
      <c r="J3" s="1" t="s">
        <v>19</v>
      </c>
      <c r="K3" s="1" t="s">
        <v>20</v>
      </c>
      <c r="L3" s="1"/>
      <c r="N3" t="s">
        <v>37</v>
      </c>
      <c r="O3" s="4">
        <v>0.6</v>
      </c>
      <c r="P3" s="4">
        <v>0.62</v>
      </c>
      <c r="Q3" t="s">
        <v>55</v>
      </c>
      <c r="Y3" s="1" t="s">
        <v>12</v>
      </c>
      <c r="Z3" t="s">
        <v>47</v>
      </c>
      <c r="AA3" t="s">
        <v>48</v>
      </c>
      <c r="AB3" t="s">
        <v>49</v>
      </c>
      <c r="AC3" s="7"/>
    </row>
    <row r="4" spans="1:29" x14ac:dyDescent="0.25">
      <c r="A4" t="s">
        <v>21</v>
      </c>
      <c r="B4">
        <v>1</v>
      </c>
      <c r="C4" s="1" t="s">
        <v>13</v>
      </c>
      <c r="D4" s="10">
        <v>7</v>
      </c>
      <c r="E4">
        <v>1</v>
      </c>
      <c r="F4">
        <v>1</v>
      </c>
      <c r="G4">
        <v>0</v>
      </c>
      <c r="H4">
        <v>2</v>
      </c>
      <c r="I4">
        <v>0</v>
      </c>
      <c r="J4">
        <v>0</v>
      </c>
      <c r="K4">
        <v>0</v>
      </c>
      <c r="L4" s="1">
        <v>11</v>
      </c>
      <c r="N4" t="s">
        <v>38</v>
      </c>
      <c r="O4" s="4">
        <v>0.6</v>
      </c>
      <c r="P4" s="4">
        <v>0.6</v>
      </c>
      <c r="Q4" t="s">
        <v>56</v>
      </c>
      <c r="T4" t="s">
        <v>44</v>
      </c>
      <c r="V4" t="s">
        <v>57</v>
      </c>
      <c r="Y4" s="1" t="s">
        <v>13</v>
      </c>
      <c r="Z4">
        <v>11</v>
      </c>
      <c r="AA4">
        <v>7</v>
      </c>
      <c r="AB4">
        <v>4</v>
      </c>
      <c r="AC4" s="7"/>
    </row>
    <row r="5" spans="1:29" x14ac:dyDescent="0.25">
      <c r="C5" s="1" t="s">
        <v>14</v>
      </c>
      <c r="D5">
        <v>1</v>
      </c>
      <c r="E5" s="10">
        <v>0</v>
      </c>
      <c r="F5">
        <v>0</v>
      </c>
      <c r="G5">
        <v>2</v>
      </c>
      <c r="H5">
        <v>0</v>
      </c>
      <c r="I5">
        <v>0</v>
      </c>
      <c r="J5">
        <v>0</v>
      </c>
      <c r="K5">
        <v>1</v>
      </c>
      <c r="L5" s="1">
        <v>4</v>
      </c>
      <c r="M5" s="10" t="s">
        <v>39</v>
      </c>
      <c r="N5" s="10">
        <v>1</v>
      </c>
      <c r="O5" s="10">
        <v>2</v>
      </c>
      <c r="P5" s="10" t="s">
        <v>39</v>
      </c>
      <c r="Q5" s="10">
        <v>1</v>
      </c>
      <c r="R5" s="10">
        <v>2</v>
      </c>
      <c r="S5" s="10" t="s">
        <v>39</v>
      </c>
      <c r="T5" s="10">
        <v>1</v>
      </c>
      <c r="U5" s="10">
        <v>2</v>
      </c>
      <c r="V5" s="10" t="s">
        <v>11</v>
      </c>
      <c r="W5" t="s">
        <v>42</v>
      </c>
      <c r="X5" t="s">
        <v>43</v>
      </c>
      <c r="Y5" s="1" t="s">
        <v>14</v>
      </c>
      <c r="Z5">
        <v>4</v>
      </c>
      <c r="AA5">
        <v>0</v>
      </c>
      <c r="AB5">
        <v>4</v>
      </c>
      <c r="AC5" s="7"/>
    </row>
    <row r="6" spans="1:29" x14ac:dyDescent="0.25">
      <c r="A6" t="s">
        <v>22</v>
      </c>
      <c r="B6" s="20">
        <v>0.10143276838694373</v>
      </c>
      <c r="C6" s="1" t="s">
        <v>15</v>
      </c>
      <c r="D6">
        <v>1</v>
      </c>
      <c r="E6">
        <v>0</v>
      </c>
      <c r="F6" s="10">
        <v>0</v>
      </c>
      <c r="G6">
        <v>2</v>
      </c>
      <c r="H6">
        <v>0</v>
      </c>
      <c r="I6">
        <v>0</v>
      </c>
      <c r="J6">
        <v>0</v>
      </c>
      <c r="K6">
        <v>1</v>
      </c>
      <c r="L6" s="1">
        <v>4</v>
      </c>
      <c r="M6" s="10">
        <v>1</v>
      </c>
      <c r="N6">
        <v>32</v>
      </c>
      <c r="O6">
        <v>8</v>
      </c>
      <c r="P6" s="10">
        <v>1</v>
      </c>
      <c r="Q6">
        <v>16.399999999999999</v>
      </c>
      <c r="R6">
        <v>23.6</v>
      </c>
      <c r="S6" s="10">
        <v>1</v>
      </c>
      <c r="T6">
        <v>14.839024390243907</v>
      </c>
      <c r="U6">
        <v>10.311864406779662</v>
      </c>
      <c r="V6" s="12">
        <v>41.918147995039277</v>
      </c>
      <c r="W6">
        <v>0.9999999999048248</v>
      </c>
      <c r="X6" s="12">
        <v>9.5175201053621095E-11</v>
      </c>
      <c r="Y6" s="1" t="s">
        <v>15</v>
      </c>
      <c r="Z6">
        <v>4</v>
      </c>
      <c r="AA6">
        <v>0</v>
      </c>
      <c r="AB6">
        <v>4</v>
      </c>
      <c r="AC6" s="7"/>
    </row>
    <row r="7" spans="1:29" x14ac:dyDescent="0.25">
      <c r="A7" t="s">
        <v>23</v>
      </c>
      <c r="B7" s="20">
        <v>0.10434855339237517</v>
      </c>
      <c r="C7" s="1" t="s">
        <v>16</v>
      </c>
      <c r="D7">
        <v>0</v>
      </c>
      <c r="E7">
        <v>2</v>
      </c>
      <c r="F7">
        <v>1</v>
      </c>
      <c r="G7" s="10">
        <v>14</v>
      </c>
      <c r="H7">
        <v>0</v>
      </c>
      <c r="I7">
        <v>0</v>
      </c>
      <c r="J7">
        <v>1</v>
      </c>
      <c r="K7">
        <v>3</v>
      </c>
      <c r="L7" s="1">
        <v>21</v>
      </c>
      <c r="M7" s="10">
        <v>2</v>
      </c>
      <c r="N7">
        <v>9</v>
      </c>
      <c r="O7">
        <v>51</v>
      </c>
      <c r="P7" s="10">
        <v>2</v>
      </c>
      <c r="Q7">
        <v>24.6</v>
      </c>
      <c r="R7">
        <v>35.4</v>
      </c>
      <c r="S7" s="10">
        <v>2</v>
      </c>
      <c r="T7">
        <v>9.89268292682927</v>
      </c>
      <c r="U7">
        <v>6.8745762711864424</v>
      </c>
      <c r="Y7" s="1" t="s">
        <v>16</v>
      </c>
      <c r="Z7">
        <v>21</v>
      </c>
      <c r="AA7">
        <v>14</v>
      </c>
      <c r="AB7">
        <v>7</v>
      </c>
      <c r="AC7" s="7"/>
    </row>
    <row r="8" spans="1:29" x14ac:dyDescent="0.25">
      <c r="A8" t="s">
        <v>24</v>
      </c>
      <c r="B8" s="20">
        <v>8.995795422285395E-2</v>
      </c>
      <c r="C8" s="1" t="s">
        <v>17</v>
      </c>
      <c r="D8">
        <v>2</v>
      </c>
      <c r="E8">
        <v>0</v>
      </c>
      <c r="F8">
        <v>0</v>
      </c>
      <c r="G8">
        <v>0</v>
      </c>
      <c r="H8" s="10">
        <v>13</v>
      </c>
      <c r="I8">
        <v>2</v>
      </c>
      <c r="J8">
        <v>2</v>
      </c>
      <c r="K8">
        <v>1</v>
      </c>
      <c r="L8" s="1">
        <v>20</v>
      </c>
      <c r="M8" s="10" t="s">
        <v>40</v>
      </c>
      <c r="N8">
        <v>1</v>
      </c>
      <c r="O8">
        <v>2</v>
      </c>
      <c r="P8" s="10" t="s">
        <v>40</v>
      </c>
      <c r="S8" s="10" t="s">
        <v>40</v>
      </c>
      <c r="Y8" s="1" t="s">
        <v>17</v>
      </c>
      <c r="Z8">
        <v>20</v>
      </c>
      <c r="AA8">
        <v>13</v>
      </c>
      <c r="AB8">
        <v>7</v>
      </c>
      <c r="AC8" s="7"/>
    </row>
    <row r="9" spans="1:29" x14ac:dyDescent="0.25">
      <c r="C9" s="1" t="s">
        <v>18</v>
      </c>
      <c r="D9">
        <v>0</v>
      </c>
      <c r="E9">
        <v>0</v>
      </c>
      <c r="F9">
        <v>0</v>
      </c>
      <c r="G9">
        <v>0</v>
      </c>
      <c r="H9">
        <v>2</v>
      </c>
      <c r="I9" s="10">
        <v>0</v>
      </c>
      <c r="J9">
        <v>0</v>
      </c>
      <c r="K9">
        <v>3</v>
      </c>
      <c r="L9" s="1">
        <v>5</v>
      </c>
      <c r="M9" s="10">
        <v>1</v>
      </c>
      <c r="N9">
        <v>30</v>
      </c>
      <c r="O9">
        <v>10</v>
      </c>
      <c r="P9" s="10">
        <v>1</v>
      </c>
      <c r="Q9">
        <v>15.2</v>
      </c>
      <c r="R9">
        <v>24.8</v>
      </c>
      <c r="S9" s="10">
        <v>1</v>
      </c>
      <c r="T9">
        <v>14.410526315789475</v>
      </c>
      <c r="U9">
        <v>8.8322580645161288</v>
      </c>
      <c r="V9" s="12">
        <v>38.737973967176003</v>
      </c>
      <c r="W9">
        <v>0.99999999951531271</v>
      </c>
      <c r="X9" s="12">
        <v>4.8468729030304303E-10</v>
      </c>
      <c r="Y9" s="1" t="s">
        <v>18</v>
      </c>
      <c r="Z9">
        <v>5</v>
      </c>
      <c r="AA9">
        <v>0</v>
      </c>
      <c r="AB9">
        <v>5</v>
      </c>
      <c r="AC9" s="7"/>
    </row>
    <row r="10" spans="1:29" x14ac:dyDescent="0.25">
      <c r="A10" s="7"/>
      <c r="C10" s="1" t="s">
        <v>19</v>
      </c>
      <c r="D10">
        <v>0</v>
      </c>
      <c r="E10">
        <v>0</v>
      </c>
      <c r="F10">
        <v>1</v>
      </c>
      <c r="G10">
        <v>0</v>
      </c>
      <c r="H10">
        <v>2</v>
      </c>
      <c r="I10">
        <v>0</v>
      </c>
      <c r="J10" s="10">
        <v>1</v>
      </c>
      <c r="K10">
        <v>1</v>
      </c>
      <c r="L10" s="1">
        <v>5</v>
      </c>
      <c r="M10" s="10">
        <v>2</v>
      </c>
      <c r="N10">
        <v>8</v>
      </c>
      <c r="O10">
        <v>52</v>
      </c>
      <c r="P10" s="10">
        <v>2</v>
      </c>
      <c r="Q10">
        <v>22.8</v>
      </c>
      <c r="R10">
        <v>37.200000000000003</v>
      </c>
      <c r="S10" s="10">
        <v>2</v>
      </c>
      <c r="T10">
        <v>9.6070175438596497</v>
      </c>
      <c r="U10">
        <v>5.8881720430107496</v>
      </c>
      <c r="Y10" s="1" t="s">
        <v>19</v>
      </c>
      <c r="Z10">
        <v>5</v>
      </c>
      <c r="AA10">
        <v>1</v>
      </c>
      <c r="AB10">
        <v>4</v>
      </c>
      <c r="AC10" s="7"/>
    </row>
    <row r="11" spans="1:29" x14ac:dyDescent="0.25">
      <c r="A11" s="7">
        <v>0</v>
      </c>
      <c r="B11" s="6">
        <v>0</v>
      </c>
      <c r="C11" s="1" t="s">
        <v>20</v>
      </c>
      <c r="D11">
        <v>0</v>
      </c>
      <c r="E11">
        <v>1</v>
      </c>
      <c r="F11">
        <v>1</v>
      </c>
      <c r="G11">
        <v>4</v>
      </c>
      <c r="H11">
        <v>0</v>
      </c>
      <c r="I11">
        <v>2</v>
      </c>
      <c r="J11">
        <v>2</v>
      </c>
      <c r="K11" s="10">
        <v>20</v>
      </c>
      <c r="L11" s="1">
        <v>30</v>
      </c>
      <c r="M11" s="10" t="s">
        <v>41</v>
      </c>
      <c r="N11">
        <v>1</v>
      </c>
      <c r="O11">
        <v>2</v>
      </c>
      <c r="P11" s="10" t="s">
        <v>41</v>
      </c>
      <c r="S11" s="10" t="s">
        <v>41</v>
      </c>
      <c r="Y11" s="1" t="s">
        <v>20</v>
      </c>
      <c r="Z11">
        <v>30</v>
      </c>
      <c r="AA11">
        <v>20</v>
      </c>
      <c r="AB11">
        <v>10</v>
      </c>
      <c r="AC11" s="7"/>
    </row>
    <row r="12" spans="1:29" x14ac:dyDescent="0.25">
      <c r="A12" s="7"/>
      <c r="B12" s="6"/>
      <c r="C12" s="1"/>
      <c r="D12" s="1">
        <v>11</v>
      </c>
      <c r="E12" s="1">
        <v>4</v>
      </c>
      <c r="F12" s="1">
        <v>4</v>
      </c>
      <c r="G12" s="1">
        <v>22</v>
      </c>
      <c r="H12" s="1">
        <v>19</v>
      </c>
      <c r="I12" s="1">
        <v>4</v>
      </c>
      <c r="J12" s="1">
        <v>6</v>
      </c>
      <c r="K12" s="1">
        <v>30</v>
      </c>
      <c r="L12" s="1">
        <v>100</v>
      </c>
      <c r="M12" s="10">
        <v>1</v>
      </c>
      <c r="N12">
        <v>32</v>
      </c>
      <c r="O12">
        <v>8</v>
      </c>
      <c r="P12" s="10">
        <v>1</v>
      </c>
      <c r="Q12">
        <v>16</v>
      </c>
      <c r="R12">
        <v>24</v>
      </c>
      <c r="S12" s="10">
        <v>1</v>
      </c>
      <c r="T12">
        <v>16</v>
      </c>
      <c r="U12">
        <v>10.666666666666666</v>
      </c>
      <c r="V12" s="12">
        <v>44.444444444444443</v>
      </c>
      <c r="W12">
        <v>0.99999999997383215</v>
      </c>
      <c r="X12" s="12">
        <v>2.6167845668112477E-11</v>
      </c>
      <c r="Y12" s="1" t="s">
        <v>46</v>
      </c>
      <c r="Z12" s="7">
        <v>100</v>
      </c>
      <c r="AA12" s="7">
        <v>55</v>
      </c>
      <c r="AB12" s="7">
        <v>45</v>
      </c>
      <c r="AC12" s="7"/>
    </row>
    <row r="13" spans="1:29" x14ac:dyDescent="0.25">
      <c r="A13" s="7"/>
      <c r="C13" s="1" t="s">
        <v>25</v>
      </c>
      <c r="D13" s="4">
        <v>9.3540998374728526E-2</v>
      </c>
      <c r="E13" s="4">
        <v>9.2465583198059354E-3</v>
      </c>
      <c r="F13" s="4">
        <v>1.0898065201872632E-2</v>
      </c>
      <c r="G13" s="4">
        <v>1.0772773138306307E-3</v>
      </c>
      <c r="H13" s="4">
        <v>1.0559168072259643E-2</v>
      </c>
      <c r="I13" s="4">
        <v>1.0437772215948402E-3</v>
      </c>
      <c r="J13" s="4">
        <v>1.2302039119576726E-3</v>
      </c>
      <c r="K13" s="4">
        <v>1.2160605953339055E-4</v>
      </c>
      <c r="M13" s="10">
        <v>2</v>
      </c>
      <c r="N13">
        <v>8</v>
      </c>
      <c r="O13">
        <v>52</v>
      </c>
      <c r="P13" s="10">
        <v>2</v>
      </c>
      <c r="Q13">
        <v>24</v>
      </c>
      <c r="R13">
        <v>36</v>
      </c>
      <c r="S13" s="10">
        <v>2</v>
      </c>
      <c r="T13">
        <v>10.666666666666666</v>
      </c>
      <c r="U13">
        <v>7.1111111111111107</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0.73240460575958555</v>
      </c>
      <c r="C15" s="1" t="s">
        <v>13</v>
      </c>
      <c r="D15" s="4">
        <v>6.8509858037001076E-2</v>
      </c>
      <c r="E15" s="4">
        <v>6.772221900850482E-3</v>
      </c>
      <c r="F15" s="4">
        <v>7.9817931477197835E-3</v>
      </c>
      <c r="G15" s="4">
        <v>7.8900286632986843E-4</v>
      </c>
      <c r="H15" s="4">
        <v>7.7335833291125268E-3</v>
      </c>
      <c r="I15" s="4">
        <v>7.6446724448300449E-4</v>
      </c>
      <c r="J15" s="4">
        <v>9.0100701114125914E-4</v>
      </c>
      <c r="K15" s="4">
        <v>8.9064838090529593E-5</v>
      </c>
      <c r="AC15" s="7"/>
    </row>
    <row r="16" spans="1:29" x14ac:dyDescent="0.25">
      <c r="A16" s="7"/>
      <c r="B16" s="4">
        <v>7.2398435108857018E-2</v>
      </c>
      <c r="C16" s="1" t="s">
        <v>14</v>
      </c>
      <c r="D16" s="4">
        <v>6.7722219008504829E-3</v>
      </c>
      <c r="E16" s="4">
        <v>6.6943635249673203E-4</v>
      </c>
      <c r="F16" s="4">
        <v>7.8900286632986843E-4</v>
      </c>
      <c r="G16" s="4">
        <v>7.7993191699610718E-5</v>
      </c>
      <c r="H16" s="4">
        <v>7.644672444830046E-4</v>
      </c>
      <c r="I16" s="4">
        <v>7.5567837445737109E-5</v>
      </c>
      <c r="J16" s="4">
        <v>8.9064838090529606E-5</v>
      </c>
      <c r="K16" s="4">
        <v>8.8040884099719795E-6</v>
      </c>
      <c r="O16" s="8"/>
      <c r="AC16" s="7"/>
    </row>
    <row r="17" spans="1:29" x14ac:dyDescent="0.25">
      <c r="A17" s="7"/>
      <c r="B17" s="4">
        <v>8.5329355965866854E-2</v>
      </c>
      <c r="C17" s="1" t="s">
        <v>15</v>
      </c>
      <c r="D17" s="4">
        <v>7.9817931477197835E-3</v>
      </c>
      <c r="E17" s="4">
        <v>7.8900286632986843E-4</v>
      </c>
      <c r="F17" s="4">
        <v>9.2992488494981638E-4</v>
      </c>
      <c r="G17" s="4">
        <v>9.1923379385806754E-5</v>
      </c>
      <c r="H17" s="4">
        <v>9.0100701114125925E-4</v>
      </c>
      <c r="I17" s="4">
        <v>8.9064838090529606E-5</v>
      </c>
      <c r="J17" s="4">
        <v>1.0497250751403817E-4</v>
      </c>
      <c r="K17" s="4">
        <v>1.0376566741531079E-5</v>
      </c>
      <c r="AC17" s="7"/>
    </row>
    <row r="18" spans="1:29" x14ac:dyDescent="0.25">
      <c r="A18" s="7"/>
      <c r="B18" s="4">
        <v>8.4348347787469111E-3</v>
      </c>
      <c r="C18" s="1" t="s">
        <v>16</v>
      </c>
      <c r="D18" s="4">
        <v>7.8900286632986843E-4</v>
      </c>
      <c r="E18" s="4">
        <v>7.7993191699610704E-5</v>
      </c>
      <c r="F18" s="4">
        <v>9.1923379385806754E-5</v>
      </c>
      <c r="G18" s="4">
        <v>9.0866561530536547E-6</v>
      </c>
      <c r="H18" s="4">
        <v>8.906483809052962E-5</v>
      </c>
      <c r="I18" s="4">
        <v>8.8040884099719795E-6</v>
      </c>
      <c r="J18" s="4">
        <v>1.0376566741531081E-5</v>
      </c>
      <c r="K18" s="4">
        <v>1.0257270202586099E-6</v>
      </c>
      <c r="AC18" s="7"/>
    </row>
    <row r="19" spans="1:29" x14ac:dyDescent="0.25">
      <c r="A19" s="7"/>
      <c r="B19" s="4">
        <v>8.2675869014477696E-2</v>
      </c>
      <c r="C19" s="1" t="s">
        <v>17</v>
      </c>
      <c r="D19" s="4">
        <v>7.7335833291125268E-3</v>
      </c>
      <c r="E19" s="4">
        <v>7.6446724448300449E-4</v>
      </c>
      <c r="F19" s="4">
        <v>9.0100701114125914E-4</v>
      </c>
      <c r="G19" s="4">
        <v>8.9064838090529606E-5</v>
      </c>
      <c r="H19" s="4">
        <v>8.7298839644399319E-4</v>
      </c>
      <c r="I19" s="4">
        <v>8.6295188852870475E-5</v>
      </c>
      <c r="J19" s="4">
        <v>1.0170817748611059E-4</v>
      </c>
      <c r="K19" s="4">
        <v>1.0053886649349373E-5</v>
      </c>
      <c r="AC19" s="7"/>
    </row>
    <row r="20" spans="1:29" x14ac:dyDescent="0.25">
      <c r="A20" s="7"/>
      <c r="B20" s="4">
        <v>8.1725367247046255E-3</v>
      </c>
      <c r="C20" s="1" t="s">
        <v>18</v>
      </c>
      <c r="D20" s="4">
        <v>7.644672444830046E-4</v>
      </c>
      <c r="E20" s="4">
        <v>7.5567837445737109E-5</v>
      </c>
      <c r="F20" s="4">
        <v>8.9064838090529606E-5</v>
      </c>
      <c r="G20" s="4">
        <v>8.8040884099719795E-6</v>
      </c>
      <c r="H20" s="4">
        <v>8.6295188852870475E-5</v>
      </c>
      <c r="I20" s="4">
        <v>8.5303076758939902E-6</v>
      </c>
      <c r="J20" s="4">
        <v>1.0053886649349375E-5</v>
      </c>
      <c r="K20" s="4">
        <v>9.9382998748325131E-7</v>
      </c>
      <c r="AC20" s="7"/>
    </row>
    <row r="21" spans="1:29" x14ac:dyDescent="0.25">
      <c r="A21" s="7"/>
      <c r="B21" s="4">
        <v>9.6322150372160163E-3</v>
      </c>
      <c r="C21" s="1" t="s">
        <v>19</v>
      </c>
      <c r="D21" s="4">
        <v>9.0100701114125903E-4</v>
      </c>
      <c r="E21" s="4">
        <v>8.9064838090529593E-5</v>
      </c>
      <c r="F21" s="4">
        <v>1.0497250751403816E-4</v>
      </c>
      <c r="G21" s="4">
        <v>1.0376566741531079E-5</v>
      </c>
      <c r="H21" s="4">
        <v>1.0170817748611059E-4</v>
      </c>
      <c r="I21" s="4">
        <v>1.0053886649349375E-5</v>
      </c>
      <c r="J21" s="4">
        <v>1.1849588619600662E-5</v>
      </c>
      <c r="K21" s="4">
        <v>1.1713357152541105E-6</v>
      </c>
      <c r="M21" t="s">
        <v>62</v>
      </c>
      <c r="AC21" s="7"/>
    </row>
    <row r="22" spans="1:29" x14ac:dyDescent="0.25">
      <c r="A22" s="7"/>
      <c r="B22" s="4">
        <v>9.5214761054540728E-4</v>
      </c>
      <c r="C22" s="1" t="s">
        <v>20</v>
      </c>
      <c r="D22" s="4">
        <v>8.9064838090529593E-5</v>
      </c>
      <c r="E22" s="4">
        <v>8.8040884099719778E-6</v>
      </c>
      <c r="F22" s="4">
        <v>1.0376566741531077E-5</v>
      </c>
      <c r="G22" s="4">
        <v>1.0257270202586099E-6</v>
      </c>
      <c r="H22" s="4">
        <v>1.0053886649349375E-5</v>
      </c>
      <c r="I22" s="4">
        <v>9.938299874832511E-7</v>
      </c>
      <c r="J22" s="4">
        <v>1.1713357152541105E-6</v>
      </c>
      <c r="K22" s="4">
        <v>1.1578691901256036E-7</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6.2320000000000014E-2</v>
      </c>
      <c r="P24">
        <v>9.3480000000000008E-2</v>
      </c>
      <c r="Q24">
        <v>0.10168000000000002</v>
      </c>
      <c r="R24">
        <v>0.15252000000000002</v>
      </c>
      <c r="S24">
        <v>8.9679999999999996E-2</v>
      </c>
      <c r="T24">
        <v>0.13451999999999997</v>
      </c>
      <c r="U24">
        <v>0.14631999999999998</v>
      </c>
      <c r="V24">
        <v>0.21947999999999998</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7.2398435108857018E-2</v>
      </c>
      <c r="C26" s="1" t="s">
        <v>13</v>
      </c>
      <c r="D26" s="4">
        <v>0</v>
      </c>
      <c r="E26" s="4">
        <v>0</v>
      </c>
      <c r="F26" s="4">
        <v>0</v>
      </c>
      <c r="G26" s="4">
        <v>0</v>
      </c>
      <c r="H26" s="4">
        <v>0</v>
      </c>
      <c r="I26" s="4">
        <v>0</v>
      </c>
      <c r="J26" s="4">
        <v>0</v>
      </c>
      <c r="K26" s="4">
        <v>0</v>
      </c>
      <c r="M26" s="4">
        <v>6.4000000000000015E-2</v>
      </c>
      <c r="N26" s="1" t="s">
        <v>13</v>
      </c>
      <c r="O26">
        <v>3.9884800000000017E-3</v>
      </c>
      <c r="P26">
        <v>5.9827200000000021E-3</v>
      </c>
      <c r="Q26">
        <v>6.5075200000000027E-3</v>
      </c>
      <c r="R26">
        <v>9.7612800000000041E-3</v>
      </c>
      <c r="S26">
        <v>5.7395200000000014E-3</v>
      </c>
      <c r="T26">
        <v>8.6092800000000004E-3</v>
      </c>
      <c r="U26">
        <v>9.3644800000000014E-3</v>
      </c>
      <c r="V26">
        <v>1.4046720000000002E-2</v>
      </c>
      <c r="AC26" s="7"/>
    </row>
    <row r="27" spans="1:29" x14ac:dyDescent="0.25">
      <c r="A27" s="7"/>
      <c r="B27" s="4">
        <v>0.73240460575958555</v>
      </c>
      <c r="C27" s="1" t="s">
        <v>14</v>
      </c>
      <c r="D27" s="4">
        <v>0</v>
      </c>
      <c r="E27" s="4">
        <v>0</v>
      </c>
      <c r="F27" s="4">
        <v>0</v>
      </c>
      <c r="G27" s="4">
        <v>0</v>
      </c>
      <c r="H27" s="4">
        <v>0</v>
      </c>
      <c r="I27" s="4">
        <v>0</v>
      </c>
      <c r="J27" s="4">
        <v>0</v>
      </c>
      <c r="K27" s="4">
        <v>0</v>
      </c>
      <c r="M27" s="4">
        <v>9.6000000000000016E-2</v>
      </c>
      <c r="N27" s="1" t="s">
        <v>14</v>
      </c>
      <c r="O27">
        <v>5.9827200000000021E-3</v>
      </c>
      <c r="P27">
        <v>8.9740800000000023E-3</v>
      </c>
      <c r="Q27">
        <v>9.7612800000000041E-3</v>
      </c>
      <c r="R27">
        <v>1.4641920000000004E-2</v>
      </c>
      <c r="S27">
        <v>8.6092800000000004E-3</v>
      </c>
      <c r="T27">
        <v>1.2913919999999999E-2</v>
      </c>
      <c r="U27">
        <v>1.404672E-2</v>
      </c>
      <c r="V27">
        <v>2.1070080000000001E-2</v>
      </c>
      <c r="AC27" s="7"/>
    </row>
    <row r="28" spans="1:29" x14ac:dyDescent="0.25">
      <c r="A28" s="7"/>
      <c r="B28" s="4">
        <v>8.4348347787469111E-3</v>
      </c>
      <c r="C28" s="1" t="s">
        <v>15</v>
      </c>
      <c r="D28" s="4">
        <v>0</v>
      </c>
      <c r="E28" s="4">
        <v>0</v>
      </c>
      <c r="F28" s="4">
        <v>0</v>
      </c>
      <c r="G28" s="4">
        <v>0</v>
      </c>
      <c r="H28" s="4">
        <v>0</v>
      </c>
      <c r="I28" s="4">
        <v>0</v>
      </c>
      <c r="J28" s="4">
        <v>0</v>
      </c>
      <c r="K28" s="4">
        <v>0</v>
      </c>
      <c r="M28" s="4">
        <v>9.6000000000000002E-2</v>
      </c>
      <c r="N28" s="1" t="s">
        <v>15</v>
      </c>
      <c r="O28">
        <v>5.9827200000000013E-3</v>
      </c>
      <c r="P28">
        <v>8.9740800000000006E-3</v>
      </c>
      <c r="Q28">
        <v>9.7612800000000024E-3</v>
      </c>
      <c r="R28">
        <v>1.4641920000000003E-2</v>
      </c>
      <c r="S28">
        <v>8.6092800000000004E-3</v>
      </c>
      <c r="T28">
        <v>1.2913919999999997E-2</v>
      </c>
      <c r="U28">
        <v>1.4046719999999999E-2</v>
      </c>
      <c r="V28">
        <v>2.1070079999999998E-2</v>
      </c>
      <c r="AC28" s="7"/>
    </row>
    <row r="29" spans="1:29" x14ac:dyDescent="0.25">
      <c r="A29" s="7"/>
      <c r="B29" s="4">
        <v>8.5329355965866854E-2</v>
      </c>
      <c r="C29" s="1" t="s">
        <v>16</v>
      </c>
      <c r="D29" s="4">
        <v>0</v>
      </c>
      <c r="E29" s="4">
        <v>0</v>
      </c>
      <c r="F29" s="4">
        <v>0</v>
      </c>
      <c r="G29" s="4">
        <v>0</v>
      </c>
      <c r="H29" s="4">
        <v>0</v>
      </c>
      <c r="I29" s="4">
        <v>0</v>
      </c>
      <c r="J29" s="4">
        <v>0</v>
      </c>
      <c r="K29" s="4">
        <v>0</v>
      </c>
      <c r="M29" s="4">
        <v>0.14399999999999999</v>
      </c>
      <c r="N29" s="1" t="s">
        <v>16</v>
      </c>
      <c r="O29">
        <v>8.9740800000000006E-3</v>
      </c>
      <c r="P29">
        <v>1.346112E-2</v>
      </c>
      <c r="Q29">
        <v>1.4641920000000001E-2</v>
      </c>
      <c r="R29">
        <v>2.1962880000000001E-2</v>
      </c>
      <c r="S29">
        <v>1.2913919999999999E-2</v>
      </c>
      <c r="T29">
        <v>1.9370879999999993E-2</v>
      </c>
      <c r="U29">
        <v>2.1070079999999995E-2</v>
      </c>
      <c r="V29">
        <v>3.1605119999999993E-2</v>
      </c>
      <c r="AC29" s="7"/>
    </row>
    <row r="30" spans="1:29" x14ac:dyDescent="0.25">
      <c r="A30" s="7"/>
      <c r="B30" s="4">
        <v>8.1725367247046255E-3</v>
      </c>
      <c r="C30" s="1" t="s">
        <v>17</v>
      </c>
      <c r="D30" s="4">
        <v>0</v>
      </c>
      <c r="E30" s="4">
        <v>0</v>
      </c>
      <c r="F30" s="4">
        <v>0</v>
      </c>
      <c r="G30" s="4">
        <v>0</v>
      </c>
      <c r="H30" s="4">
        <v>0</v>
      </c>
      <c r="I30" s="4">
        <v>0</v>
      </c>
      <c r="J30" s="4">
        <v>0</v>
      </c>
      <c r="K30" s="4">
        <v>0</v>
      </c>
      <c r="M30" s="4">
        <v>9.6000000000000002E-2</v>
      </c>
      <c r="N30" s="1" t="s">
        <v>17</v>
      </c>
      <c r="O30">
        <v>5.9827200000000013E-3</v>
      </c>
      <c r="P30">
        <v>8.9740800000000006E-3</v>
      </c>
      <c r="Q30">
        <v>9.7612800000000024E-3</v>
      </c>
      <c r="R30">
        <v>1.4641920000000003E-2</v>
      </c>
      <c r="S30">
        <v>8.6092800000000004E-3</v>
      </c>
      <c r="T30">
        <v>1.2913919999999997E-2</v>
      </c>
      <c r="U30">
        <v>1.4046719999999999E-2</v>
      </c>
      <c r="V30">
        <v>2.1070079999999998E-2</v>
      </c>
      <c r="AC30" s="7"/>
    </row>
    <row r="31" spans="1:29" x14ac:dyDescent="0.25">
      <c r="A31" s="7"/>
      <c r="B31" s="4">
        <v>8.2675869014477696E-2</v>
      </c>
      <c r="C31" s="1" t="s">
        <v>18</v>
      </c>
      <c r="D31" s="4">
        <v>0</v>
      </c>
      <c r="E31" s="4">
        <v>0</v>
      </c>
      <c r="F31" s="4">
        <v>0</v>
      </c>
      <c r="G31" s="4">
        <v>0</v>
      </c>
      <c r="H31" s="4">
        <v>0</v>
      </c>
      <c r="I31" s="4">
        <v>0</v>
      </c>
      <c r="J31" s="4">
        <v>0</v>
      </c>
      <c r="K31" s="4">
        <v>0</v>
      </c>
      <c r="M31" s="4">
        <v>0.14399999999999999</v>
      </c>
      <c r="N31" s="1" t="s">
        <v>18</v>
      </c>
      <c r="O31">
        <v>8.9740800000000006E-3</v>
      </c>
      <c r="P31">
        <v>1.346112E-2</v>
      </c>
      <c r="Q31">
        <v>1.4641920000000001E-2</v>
      </c>
      <c r="R31">
        <v>2.1962880000000001E-2</v>
      </c>
      <c r="S31">
        <v>1.2913919999999999E-2</v>
      </c>
      <c r="T31">
        <v>1.9370879999999993E-2</v>
      </c>
      <c r="U31">
        <v>2.1070079999999995E-2</v>
      </c>
      <c r="V31">
        <v>3.1605119999999993E-2</v>
      </c>
      <c r="AC31" s="7"/>
    </row>
    <row r="32" spans="1:29" x14ac:dyDescent="0.25">
      <c r="A32" s="7"/>
      <c r="B32" s="4">
        <v>9.5214761054540728E-4</v>
      </c>
      <c r="C32" s="1" t="s">
        <v>19</v>
      </c>
      <c r="D32" s="4">
        <v>0</v>
      </c>
      <c r="E32" s="4">
        <v>0</v>
      </c>
      <c r="F32" s="4">
        <v>0</v>
      </c>
      <c r="G32" s="4">
        <v>0</v>
      </c>
      <c r="H32" s="4">
        <v>0</v>
      </c>
      <c r="I32" s="4">
        <v>0</v>
      </c>
      <c r="J32" s="4">
        <v>0</v>
      </c>
      <c r="K32" s="4">
        <v>0</v>
      </c>
      <c r="M32" s="4">
        <v>0.14399999999999999</v>
      </c>
      <c r="N32" s="1" t="s">
        <v>19</v>
      </c>
      <c r="O32">
        <v>8.9740800000000006E-3</v>
      </c>
      <c r="P32">
        <v>1.346112E-2</v>
      </c>
      <c r="Q32">
        <v>1.4641920000000001E-2</v>
      </c>
      <c r="R32">
        <v>2.1962880000000001E-2</v>
      </c>
      <c r="S32">
        <v>1.2913919999999999E-2</v>
      </c>
      <c r="T32">
        <v>1.9370879999999993E-2</v>
      </c>
      <c r="U32">
        <v>2.1070079999999995E-2</v>
      </c>
      <c r="V32">
        <v>3.1605119999999993E-2</v>
      </c>
      <c r="AC32" s="7"/>
    </row>
    <row r="33" spans="1:29" x14ac:dyDescent="0.25">
      <c r="A33" s="7"/>
      <c r="B33" s="4">
        <v>9.6322150372160163E-3</v>
      </c>
      <c r="C33" s="1" t="s">
        <v>20</v>
      </c>
      <c r="D33" s="4">
        <v>0</v>
      </c>
      <c r="E33" s="4">
        <v>0</v>
      </c>
      <c r="F33" s="4">
        <v>0</v>
      </c>
      <c r="G33" s="4">
        <v>0</v>
      </c>
      <c r="H33" s="4">
        <v>0</v>
      </c>
      <c r="I33" s="4">
        <v>0</v>
      </c>
      <c r="J33" s="4">
        <v>0</v>
      </c>
      <c r="K33" s="4">
        <v>0</v>
      </c>
      <c r="M33" s="4">
        <v>0.216</v>
      </c>
      <c r="N33" s="1" t="s">
        <v>20</v>
      </c>
      <c r="O33">
        <v>1.3461120000000003E-2</v>
      </c>
      <c r="P33">
        <v>2.019168E-2</v>
      </c>
      <c r="Q33">
        <v>2.1962880000000004E-2</v>
      </c>
      <c r="R33">
        <v>3.2944320000000006E-2</v>
      </c>
      <c r="S33">
        <v>1.937088E-2</v>
      </c>
      <c r="T33">
        <v>2.9056319999999993E-2</v>
      </c>
      <c r="U33">
        <v>3.1605119999999993E-2</v>
      </c>
      <c r="V33">
        <v>4.7407679999999994E-2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8.5329355965866854E-2</v>
      </c>
      <c r="C37" s="1" t="s">
        <v>13</v>
      </c>
      <c r="D37" s="4">
        <v>0</v>
      </c>
      <c r="E37" s="4">
        <v>0</v>
      </c>
      <c r="F37" s="4">
        <v>0</v>
      </c>
      <c r="G37" s="4">
        <v>0</v>
      </c>
      <c r="H37" s="4">
        <v>0</v>
      </c>
      <c r="I37" s="4">
        <v>0</v>
      </c>
      <c r="J37" s="4">
        <v>0</v>
      </c>
      <c r="K37" s="4">
        <v>0</v>
      </c>
      <c r="N37" s="1" t="s">
        <v>13</v>
      </c>
      <c r="O37" s="5">
        <v>0.39884800000000015</v>
      </c>
      <c r="P37" s="5">
        <v>0.59827200000000025</v>
      </c>
      <c r="Q37" s="5">
        <v>0.65075200000000022</v>
      </c>
      <c r="R37" s="5">
        <v>0.97612800000000044</v>
      </c>
      <c r="S37" s="5">
        <v>0.57395200000000013</v>
      </c>
      <c r="T37" s="5">
        <v>0.86092800000000003</v>
      </c>
      <c r="U37" s="5">
        <v>0.93644800000000017</v>
      </c>
      <c r="V37" s="5">
        <v>1.4046720000000001</v>
      </c>
      <c r="X37">
        <v>6.4000000000000021</v>
      </c>
      <c r="Y37">
        <v>0.39884800000000015</v>
      </c>
      <c r="Z37">
        <v>6.001152000000002</v>
      </c>
      <c r="AA37">
        <v>109.25266699871626</v>
      </c>
      <c r="AB37">
        <v>0.66730676495179708</v>
      </c>
      <c r="AC37" s="7"/>
    </row>
    <row r="38" spans="1:29" x14ac:dyDescent="0.25">
      <c r="A38" s="7"/>
      <c r="B38" s="4">
        <v>8.4348347787469111E-3</v>
      </c>
      <c r="C38" s="1" t="s">
        <v>14</v>
      </c>
      <c r="D38" s="4">
        <v>0</v>
      </c>
      <c r="E38" s="4">
        <v>0</v>
      </c>
      <c r="F38" s="4">
        <v>0</v>
      </c>
      <c r="G38" s="4">
        <v>0</v>
      </c>
      <c r="H38" s="4">
        <v>0</v>
      </c>
      <c r="I38" s="4">
        <v>0</v>
      </c>
      <c r="J38" s="4">
        <v>0</v>
      </c>
      <c r="K38" s="4">
        <v>0</v>
      </c>
      <c r="N38" s="1" t="s">
        <v>14</v>
      </c>
      <c r="O38" s="5">
        <v>0.59827200000000025</v>
      </c>
      <c r="P38" s="5">
        <v>0.89740800000000021</v>
      </c>
      <c r="Q38" s="5">
        <v>0.97612800000000044</v>
      </c>
      <c r="R38" s="5">
        <v>1.4641920000000004</v>
      </c>
      <c r="S38" s="5">
        <v>0.86092800000000003</v>
      </c>
      <c r="T38" s="5">
        <v>1.2913919999999999</v>
      </c>
      <c r="U38" s="5">
        <v>1.4046720000000001</v>
      </c>
      <c r="V38" s="5">
        <v>2.107008</v>
      </c>
      <c r="X38">
        <v>9.6000000000000032</v>
      </c>
      <c r="Y38">
        <v>0.89740800000000021</v>
      </c>
      <c r="Z38">
        <v>8.7025920000000028</v>
      </c>
      <c r="AA38">
        <v>0.89740800000000021</v>
      </c>
      <c r="AB38">
        <v>2.5411247038197375</v>
      </c>
      <c r="AC38" s="7"/>
    </row>
    <row r="39" spans="1:29" x14ac:dyDescent="0.25">
      <c r="A39" s="7"/>
      <c r="B39" s="4">
        <v>0.73240460575958555</v>
      </c>
      <c r="C39" s="1" t="s">
        <v>15</v>
      </c>
      <c r="D39" s="4">
        <v>0</v>
      </c>
      <c r="E39" s="4">
        <v>0</v>
      </c>
      <c r="F39" s="4">
        <v>0</v>
      </c>
      <c r="G39" s="4">
        <v>0</v>
      </c>
      <c r="H39" s="4">
        <v>0</v>
      </c>
      <c r="I39" s="4">
        <v>0</v>
      </c>
      <c r="J39" s="4">
        <v>0</v>
      </c>
      <c r="K39" s="4">
        <v>0</v>
      </c>
      <c r="N39" s="1" t="s">
        <v>15</v>
      </c>
      <c r="O39" s="5">
        <v>0.59827200000000014</v>
      </c>
      <c r="P39" s="5">
        <v>0.89740800000000009</v>
      </c>
      <c r="Q39" s="5">
        <v>0.97612800000000022</v>
      </c>
      <c r="R39" s="5">
        <v>1.4641920000000002</v>
      </c>
      <c r="S39" s="5">
        <v>0.86092800000000003</v>
      </c>
      <c r="T39" s="5">
        <v>1.2913919999999997</v>
      </c>
      <c r="U39" s="5">
        <v>1.4046719999999999</v>
      </c>
      <c r="V39" s="5">
        <v>2.107008</v>
      </c>
      <c r="X39">
        <v>9.6</v>
      </c>
      <c r="Y39">
        <v>0.97612800000000022</v>
      </c>
      <c r="Z39">
        <v>8.6238719999999986</v>
      </c>
      <c r="AA39">
        <v>0.97612800000000022</v>
      </c>
      <c r="AB39">
        <v>2.4791871067177236</v>
      </c>
      <c r="AC39" s="7"/>
    </row>
    <row r="40" spans="1:29" x14ac:dyDescent="0.25">
      <c r="A40" s="7"/>
      <c r="B40" s="4">
        <v>7.2398435108857018E-2</v>
      </c>
      <c r="C40" s="1" t="s">
        <v>16</v>
      </c>
      <c r="D40" s="4">
        <v>0</v>
      </c>
      <c r="E40" s="4">
        <v>0</v>
      </c>
      <c r="F40" s="4">
        <v>0</v>
      </c>
      <c r="G40" s="4">
        <v>0</v>
      </c>
      <c r="H40" s="4">
        <v>0</v>
      </c>
      <c r="I40" s="4">
        <v>0</v>
      </c>
      <c r="J40" s="4">
        <v>0</v>
      </c>
      <c r="K40" s="4">
        <v>0</v>
      </c>
      <c r="N40" s="1" t="s">
        <v>16</v>
      </c>
      <c r="O40" s="5">
        <v>0.89740800000000009</v>
      </c>
      <c r="P40" s="5">
        <v>1.346112</v>
      </c>
      <c r="Q40" s="5">
        <v>1.4641920000000002</v>
      </c>
      <c r="R40" s="5">
        <v>2.196288</v>
      </c>
      <c r="S40" s="5">
        <v>1.2913919999999999</v>
      </c>
      <c r="T40" s="5">
        <v>1.9370879999999993</v>
      </c>
      <c r="U40" s="5">
        <v>2.1070079999999995</v>
      </c>
      <c r="V40" s="5">
        <v>3.1605119999999993</v>
      </c>
      <c r="X40">
        <v>14.399999999999997</v>
      </c>
      <c r="Y40">
        <v>2.196288</v>
      </c>
      <c r="Z40">
        <v>12.203711999999996</v>
      </c>
      <c r="AA40">
        <v>63.437771812687593</v>
      </c>
      <c r="AB40">
        <v>2.2188837772428558</v>
      </c>
      <c r="AC40" s="7"/>
    </row>
    <row r="41" spans="1:29" x14ac:dyDescent="0.25">
      <c r="A41" s="7"/>
      <c r="B41" s="4">
        <v>9.6322150372160163E-3</v>
      </c>
      <c r="C41" s="1" t="s">
        <v>17</v>
      </c>
      <c r="D41" s="4">
        <v>0</v>
      </c>
      <c r="E41" s="4">
        <v>0</v>
      </c>
      <c r="F41" s="4">
        <v>0</v>
      </c>
      <c r="G41" s="4">
        <v>0</v>
      </c>
      <c r="H41" s="4">
        <v>0</v>
      </c>
      <c r="I41" s="4">
        <v>0</v>
      </c>
      <c r="J41" s="4">
        <v>0</v>
      </c>
      <c r="K41" s="4">
        <v>0</v>
      </c>
      <c r="N41" s="1" t="s">
        <v>17</v>
      </c>
      <c r="O41" s="5">
        <v>0.59827200000000014</v>
      </c>
      <c r="P41" s="5">
        <v>0.89740800000000009</v>
      </c>
      <c r="Q41" s="5">
        <v>0.97612800000000022</v>
      </c>
      <c r="R41" s="5">
        <v>1.4641920000000002</v>
      </c>
      <c r="S41" s="5">
        <v>0.86092800000000003</v>
      </c>
      <c r="T41" s="5">
        <v>1.2913919999999997</v>
      </c>
      <c r="U41" s="5">
        <v>1.4046719999999999</v>
      </c>
      <c r="V41" s="5">
        <v>2.107008</v>
      </c>
      <c r="X41">
        <v>9.6</v>
      </c>
      <c r="Y41">
        <v>0.86092800000000003</v>
      </c>
      <c r="Z41">
        <v>8.7390720000000002</v>
      </c>
      <c r="AA41">
        <v>171.16073472019031</v>
      </c>
      <c r="AB41">
        <v>0.34607466572926743</v>
      </c>
      <c r="AC41" s="7"/>
    </row>
    <row r="42" spans="1:29" x14ac:dyDescent="0.25">
      <c r="A42" s="7"/>
      <c r="B42" s="4">
        <v>9.5214761054540728E-4</v>
      </c>
      <c r="C42" s="1" t="s">
        <v>18</v>
      </c>
      <c r="D42" s="4">
        <v>0</v>
      </c>
      <c r="E42" s="4">
        <v>0</v>
      </c>
      <c r="F42" s="4">
        <v>0</v>
      </c>
      <c r="G42" s="4">
        <v>0</v>
      </c>
      <c r="H42" s="4">
        <v>0</v>
      </c>
      <c r="I42" s="4">
        <v>0</v>
      </c>
      <c r="J42" s="4">
        <v>0</v>
      </c>
      <c r="K42" s="4">
        <v>0</v>
      </c>
      <c r="N42" s="1" t="s">
        <v>18</v>
      </c>
      <c r="O42" s="5">
        <v>0.89740800000000009</v>
      </c>
      <c r="P42" s="5">
        <v>1.346112</v>
      </c>
      <c r="Q42" s="5">
        <v>1.4641920000000002</v>
      </c>
      <c r="R42" s="5">
        <v>2.196288</v>
      </c>
      <c r="S42" s="5">
        <v>1.2913919999999999</v>
      </c>
      <c r="T42" s="5">
        <v>1.9370879999999993</v>
      </c>
      <c r="U42" s="5">
        <v>2.1070079999999995</v>
      </c>
      <c r="V42" s="5">
        <v>3.1605119999999993</v>
      </c>
      <c r="X42">
        <v>14.399999999999997</v>
      </c>
      <c r="Y42">
        <v>1.9370879999999993</v>
      </c>
      <c r="Z42">
        <v>12.462911999999998</v>
      </c>
      <c r="AA42">
        <v>1.9370879999999993</v>
      </c>
      <c r="AB42">
        <v>4.4688637390478219</v>
      </c>
      <c r="AC42" s="7"/>
    </row>
    <row r="43" spans="1:29" x14ac:dyDescent="0.25">
      <c r="A43" s="7"/>
      <c r="B43" s="4">
        <v>8.2675869014477696E-2</v>
      </c>
      <c r="C43" s="1" t="s">
        <v>19</v>
      </c>
      <c r="D43" s="4">
        <v>0</v>
      </c>
      <c r="E43" s="4">
        <v>0</v>
      </c>
      <c r="F43" s="4">
        <v>0</v>
      </c>
      <c r="G43" s="4">
        <v>0</v>
      </c>
      <c r="H43" s="4">
        <v>0</v>
      </c>
      <c r="I43" s="4">
        <v>0</v>
      </c>
      <c r="J43" s="4">
        <v>0</v>
      </c>
      <c r="K43" s="4">
        <v>0</v>
      </c>
      <c r="N43" s="1" t="s">
        <v>19</v>
      </c>
      <c r="O43" s="5">
        <v>0.89740800000000009</v>
      </c>
      <c r="P43" s="5">
        <v>1.346112</v>
      </c>
      <c r="Q43" s="5">
        <v>1.4641920000000002</v>
      </c>
      <c r="R43" s="5">
        <v>2.196288</v>
      </c>
      <c r="S43" s="5">
        <v>1.2913919999999999</v>
      </c>
      <c r="T43" s="5">
        <v>1.9370879999999993</v>
      </c>
      <c r="U43" s="5">
        <v>2.1070079999999995</v>
      </c>
      <c r="V43" s="5">
        <v>3.1605119999999993</v>
      </c>
      <c r="X43">
        <v>14.399999999999997</v>
      </c>
      <c r="Y43">
        <v>2.1070079999999995</v>
      </c>
      <c r="Z43">
        <v>12.292991999999998</v>
      </c>
      <c r="AA43">
        <v>0.58161464601178514</v>
      </c>
      <c r="AB43">
        <v>5.5945465767865121</v>
      </c>
      <c r="AC43" s="7"/>
    </row>
    <row r="44" spans="1:29" x14ac:dyDescent="0.25">
      <c r="A44" s="7"/>
      <c r="B44" s="4">
        <v>8.1725367247046255E-3</v>
      </c>
      <c r="C44" s="1" t="s">
        <v>20</v>
      </c>
      <c r="D44" s="4">
        <v>0</v>
      </c>
      <c r="E44" s="4">
        <v>0</v>
      </c>
      <c r="F44" s="4">
        <v>0</v>
      </c>
      <c r="G44" s="4">
        <v>0</v>
      </c>
      <c r="H44" s="4">
        <v>0</v>
      </c>
      <c r="I44" s="4">
        <v>0</v>
      </c>
      <c r="J44" s="4">
        <v>0</v>
      </c>
      <c r="K44" s="4">
        <v>0</v>
      </c>
      <c r="N44" s="1" t="s">
        <v>20</v>
      </c>
      <c r="O44" s="5">
        <v>1.3461120000000004</v>
      </c>
      <c r="P44" s="5">
        <v>2.0191680000000001</v>
      </c>
      <c r="Q44" s="5">
        <v>2.1962880000000005</v>
      </c>
      <c r="R44" s="5">
        <v>3.2944320000000005</v>
      </c>
      <c r="S44" s="5">
        <v>1.9370879999999999</v>
      </c>
      <c r="T44" s="5">
        <v>2.9056319999999993</v>
      </c>
      <c r="U44" s="5">
        <v>3.1605119999999993</v>
      </c>
      <c r="V44" s="5">
        <v>4.7407679999999992</v>
      </c>
      <c r="X44">
        <v>21.599999999999998</v>
      </c>
      <c r="Y44">
        <v>4.7407679999999992</v>
      </c>
      <c r="Z44">
        <v>16.859231999999999</v>
      </c>
      <c r="AA44">
        <v>49.115282846539642</v>
      </c>
      <c r="AB44">
        <v>2.7907002898960038</v>
      </c>
      <c r="AC44" s="7"/>
    </row>
    <row r="45" spans="1:29" x14ac:dyDescent="0.25">
      <c r="A45" s="7"/>
      <c r="X45" s="9">
        <v>99.999999999999986</v>
      </c>
      <c r="Y45" s="9">
        <v>14.114463999999998</v>
      </c>
      <c r="Z45" s="9">
        <v>85.885536000000002</v>
      </c>
      <c r="AA45" s="9">
        <v>397.35869502414556</v>
      </c>
      <c r="AB45" s="9">
        <v>21.106687624191721</v>
      </c>
      <c r="AC45" s="7"/>
    </row>
    <row r="46" spans="1:29" x14ac:dyDescent="0.25">
      <c r="A46" s="7"/>
      <c r="C46" s="1" t="s">
        <v>28</v>
      </c>
      <c r="D46" s="4">
        <v>2.1550062578824924E-3</v>
      </c>
      <c r="E46" s="4">
        <v>2.1800699232527716E-2</v>
      </c>
      <c r="F46" s="4">
        <v>1.8496993102177256E-2</v>
      </c>
      <c r="G46" s="4">
        <v>0.18712121222466271</v>
      </c>
      <c r="H46" s="4">
        <v>2.4326310034232174E-4</v>
      </c>
      <c r="I46" s="4">
        <v>2.4609235660160867E-3</v>
      </c>
      <c r="J46" s="4">
        <v>2.0879920290660862E-3</v>
      </c>
      <c r="K46" s="4">
        <v>2.1122762896434753E-2</v>
      </c>
      <c r="P46" t="s">
        <v>70</v>
      </c>
      <c r="AB46" s="22">
        <v>418.46538264833725</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8.4348347787469111E-3</v>
      </c>
      <c r="C48" s="1" t="s">
        <v>13</v>
      </c>
      <c r="D48" s="4">
        <v>1.817712173240448E-5</v>
      </c>
      <c r="E48" s="4">
        <v>1.8388529608752587E-4</v>
      </c>
      <c r="F48" s="4">
        <v>1.5601908072048645E-4</v>
      </c>
      <c r="G48" s="4">
        <v>1.5783365087138667E-3</v>
      </c>
      <c r="H48" s="4">
        <v>2.0518840591532152E-6</v>
      </c>
      <c r="I48" s="4">
        <v>2.0757483682470359E-5</v>
      </c>
      <c r="J48" s="4">
        <v>1.7611867784512957E-5</v>
      </c>
      <c r="K48" s="4">
        <v>1.7816701510207269E-4</v>
      </c>
      <c r="N48" s="1" t="s">
        <v>13</v>
      </c>
      <c r="O48">
        <v>109.25266699871626</v>
      </c>
      <c r="P48">
        <v>0.26975253059477916</v>
      </c>
      <c r="Q48">
        <v>0.18743571361132938</v>
      </c>
      <c r="R48">
        <v>0.97612800000000044</v>
      </c>
      <c r="S48">
        <v>3.5431759072256894</v>
      </c>
      <c r="T48">
        <v>0.86092799999999992</v>
      </c>
      <c r="U48">
        <v>0.93644800000000017</v>
      </c>
      <c r="V48">
        <v>1.4046720000000001</v>
      </c>
      <c r="W48" s="7">
        <v>117.43120715014807</v>
      </c>
      <c r="Z48" t="s">
        <v>67</v>
      </c>
      <c r="AC48" s="7"/>
    </row>
    <row r="49" spans="1:29" x14ac:dyDescent="0.25">
      <c r="A49" s="7"/>
      <c r="B49" s="4">
        <v>8.5329355965866854E-2</v>
      </c>
      <c r="C49" s="1" t="s">
        <v>14</v>
      </c>
      <c r="D49" s="4">
        <v>1.8388529608752587E-4</v>
      </c>
      <c r="E49" s="4">
        <v>1.8602396251171578E-3</v>
      </c>
      <c r="F49" s="4">
        <v>1.5783365087138669E-3</v>
      </c>
      <c r="G49" s="4">
        <v>1.596693252668276E-2</v>
      </c>
      <c r="H49" s="4">
        <v>2.0757483682470359E-5</v>
      </c>
      <c r="I49" s="4">
        <v>2.099890229693771E-4</v>
      </c>
      <c r="J49" s="4">
        <v>1.7816701510207269E-4</v>
      </c>
      <c r="K49" s="4">
        <v>1.8023917541724857E-3</v>
      </c>
      <c r="N49" s="1" t="s">
        <v>14</v>
      </c>
      <c r="O49">
        <v>0.26975253059477916</v>
      </c>
      <c r="P49">
        <v>0.89740800000000021</v>
      </c>
      <c r="Q49">
        <v>0.97612800000000044</v>
      </c>
      <c r="R49">
        <v>0.1960741575312524</v>
      </c>
      <c r="S49">
        <v>0.86092799999999992</v>
      </c>
      <c r="T49">
        <v>1.2913919999999999</v>
      </c>
      <c r="U49">
        <v>1.4046720000000001</v>
      </c>
      <c r="V49">
        <v>0.58161464601178536</v>
      </c>
      <c r="W49" s="7">
        <v>6.4779693341378168</v>
      </c>
      <c r="Z49" t="s">
        <v>69</v>
      </c>
      <c r="AB49">
        <v>12</v>
      </c>
      <c r="AC49" s="7"/>
    </row>
    <row r="50" spans="1:29" x14ac:dyDescent="0.25">
      <c r="A50" s="7"/>
      <c r="B50" s="4">
        <v>7.2398435108857018E-2</v>
      </c>
      <c r="C50" s="1" t="s">
        <v>15</v>
      </c>
      <c r="D50" s="4">
        <v>1.5601908072048642E-4</v>
      </c>
      <c r="E50" s="4">
        <v>1.5783365087138669E-3</v>
      </c>
      <c r="F50" s="4">
        <v>1.339153354816956E-3</v>
      </c>
      <c r="G50" s="4">
        <v>1.3547282940737907E-2</v>
      </c>
      <c r="H50" s="4">
        <v>1.7611867784512954E-5</v>
      </c>
      <c r="I50" s="4">
        <v>1.7816701510207266E-4</v>
      </c>
      <c r="J50" s="4">
        <v>1.5116735542415174E-4</v>
      </c>
      <c r="K50" s="4">
        <v>1.5292549788773042E-3</v>
      </c>
      <c r="N50" s="1" t="s">
        <v>15</v>
      </c>
      <c r="O50">
        <v>0.26975253059477938</v>
      </c>
      <c r="P50">
        <v>0.89740800000000009</v>
      </c>
      <c r="Q50">
        <v>0.97612800000000022</v>
      </c>
      <c r="R50">
        <v>0.1960741575312526</v>
      </c>
      <c r="S50">
        <v>0.86092799999999992</v>
      </c>
      <c r="T50">
        <v>1.2913919999999997</v>
      </c>
      <c r="U50">
        <v>1.4046719999999999</v>
      </c>
      <c r="V50">
        <v>0.58161464601178536</v>
      </c>
      <c r="W50" s="7">
        <v>6.4779693341378168</v>
      </c>
      <c r="AC50" s="7"/>
    </row>
    <row r="51" spans="1:29" x14ac:dyDescent="0.25">
      <c r="A51" s="7"/>
      <c r="B51" s="4">
        <v>0.73240460575958555</v>
      </c>
      <c r="C51" s="1" t="s">
        <v>16</v>
      </c>
      <c r="D51" s="4">
        <v>1.5783365087138667E-3</v>
      </c>
      <c r="E51" s="4">
        <v>1.596693252668276E-2</v>
      </c>
      <c r="F51" s="4">
        <v>1.3547282940737907E-2</v>
      </c>
      <c r="G51" s="4">
        <v>0.13704843766865984</v>
      </c>
      <c r="H51" s="4">
        <v>1.7816701510207266E-4</v>
      </c>
      <c r="I51" s="4">
        <v>1.8023917541724853E-3</v>
      </c>
      <c r="J51" s="4">
        <v>1.5292549788773039E-3</v>
      </c>
      <c r="K51" s="4">
        <v>1.5470408831716496E-2</v>
      </c>
      <c r="N51" s="1" t="s">
        <v>16</v>
      </c>
      <c r="O51">
        <v>0.89740800000000009</v>
      </c>
      <c r="P51">
        <v>0.31763294327960828</v>
      </c>
      <c r="Q51">
        <v>0.14716253938281326</v>
      </c>
      <c r="R51">
        <v>63.437771812687593</v>
      </c>
      <c r="S51">
        <v>1.2913919999999999</v>
      </c>
      <c r="T51">
        <v>1.9370879999999993</v>
      </c>
      <c r="U51">
        <v>0.58161464601178514</v>
      </c>
      <c r="V51">
        <v>8.1518760707125267E-3</v>
      </c>
      <c r="W51" s="7">
        <v>68.618221817432513</v>
      </c>
      <c r="AC51" s="7"/>
    </row>
    <row r="52" spans="1:29" x14ac:dyDescent="0.25">
      <c r="A52" s="7"/>
      <c r="B52" s="4">
        <v>9.5214761054540728E-4</v>
      </c>
      <c r="C52" s="1" t="s">
        <v>17</v>
      </c>
      <c r="D52" s="4">
        <v>2.0518840591532148E-6</v>
      </c>
      <c r="E52" s="4">
        <v>2.0757483682470359E-5</v>
      </c>
      <c r="F52" s="4">
        <v>1.7611867784512954E-5</v>
      </c>
      <c r="G52" s="4">
        <v>1.7816701510207266E-4</v>
      </c>
      <c r="H52" s="4">
        <v>2.316223797248093E-7</v>
      </c>
      <c r="I52" s="4">
        <v>2.3431624931170998E-6</v>
      </c>
      <c r="J52" s="4">
        <v>1.9880766213131306E-6</v>
      </c>
      <c r="K52" s="4">
        <v>2.0111988219957536E-5</v>
      </c>
      <c r="N52" s="1" t="s">
        <v>17</v>
      </c>
      <c r="O52">
        <v>3.2841941223791173</v>
      </c>
      <c r="P52">
        <v>0.89740800000000009</v>
      </c>
      <c r="Q52">
        <v>0.97612800000000022</v>
      </c>
      <c r="R52">
        <v>1.4641920000000002</v>
      </c>
      <c r="S52">
        <v>171.16073472019031</v>
      </c>
      <c r="T52">
        <v>0.38882484765586328</v>
      </c>
      <c r="U52">
        <v>0.25231187607071265</v>
      </c>
      <c r="V52">
        <v>0.58161464601178536</v>
      </c>
      <c r="W52" s="7">
        <v>179.00540821230777</v>
      </c>
      <c r="AC52" s="7"/>
    </row>
    <row r="53" spans="1:29" x14ac:dyDescent="0.25">
      <c r="A53" s="7"/>
      <c r="B53" s="4">
        <v>9.6322150372160163E-3</v>
      </c>
      <c r="C53" s="1" t="s">
        <v>18</v>
      </c>
      <c r="D53" s="4">
        <v>2.0757483682470359E-5</v>
      </c>
      <c r="E53" s="4">
        <v>2.0998902296937713E-4</v>
      </c>
      <c r="F53" s="4">
        <v>1.7816701510207269E-4</v>
      </c>
      <c r="G53" s="4">
        <v>1.8023917541724857E-3</v>
      </c>
      <c r="H53" s="4">
        <v>2.3431624931171003E-6</v>
      </c>
      <c r="I53" s="4">
        <v>2.3704144978019412E-5</v>
      </c>
      <c r="J53" s="4">
        <v>2.0111988219957536E-5</v>
      </c>
      <c r="K53" s="4">
        <v>2.0345899439858735E-4</v>
      </c>
      <c r="N53" s="1" t="s">
        <v>18</v>
      </c>
      <c r="O53">
        <v>0.89740800000000009</v>
      </c>
      <c r="P53">
        <v>1.346112</v>
      </c>
      <c r="Q53">
        <v>1.4641920000000002</v>
      </c>
      <c r="R53">
        <v>2.196288</v>
      </c>
      <c r="S53">
        <v>0.388824847655863</v>
      </c>
      <c r="T53">
        <v>1.9370879999999993</v>
      </c>
      <c r="U53">
        <v>2.1070079999999995</v>
      </c>
      <c r="V53">
        <v>8.1518760707125267E-3</v>
      </c>
      <c r="W53" s="7">
        <v>10.345072723726574</v>
      </c>
      <c r="AC53" s="7"/>
    </row>
    <row r="54" spans="1:29" x14ac:dyDescent="0.25">
      <c r="A54" s="7"/>
      <c r="B54" s="4">
        <v>8.1725367247046255E-3</v>
      </c>
      <c r="C54" s="1" t="s">
        <v>19</v>
      </c>
      <c r="D54" s="4">
        <v>1.7611867784512957E-5</v>
      </c>
      <c r="E54" s="4">
        <v>1.7816701510207271E-4</v>
      </c>
      <c r="F54" s="4">
        <v>1.5116735542415176E-4</v>
      </c>
      <c r="G54" s="4">
        <v>1.5292549788773042E-3</v>
      </c>
      <c r="H54" s="4">
        <v>1.9880766213131306E-6</v>
      </c>
      <c r="I54" s="4">
        <v>2.0111988219957536E-5</v>
      </c>
      <c r="J54" s="4">
        <v>1.7064191538433119E-5</v>
      </c>
      <c r="K54" s="4">
        <v>1.7262655549834125E-4</v>
      </c>
      <c r="N54" s="1" t="s">
        <v>19</v>
      </c>
      <c r="O54">
        <v>0.89740800000000009</v>
      </c>
      <c r="P54">
        <v>1.346112</v>
      </c>
      <c r="Q54">
        <v>0.14716253938281326</v>
      </c>
      <c r="R54">
        <v>2.196288</v>
      </c>
      <c r="S54">
        <v>0.388824847655863</v>
      </c>
      <c r="T54">
        <v>1.9370879999999993</v>
      </c>
      <c r="U54">
        <v>0.58161464601178514</v>
      </c>
      <c r="V54">
        <v>1.4769164306745231</v>
      </c>
      <c r="W54" s="7">
        <v>8.9714144637249849</v>
      </c>
      <c r="AC54" s="7"/>
    </row>
    <row r="55" spans="1:29" x14ac:dyDescent="0.25">
      <c r="A55" s="7"/>
      <c r="B55" s="4">
        <v>8.2675869014477696E-2</v>
      </c>
      <c r="C55" s="1" t="s">
        <v>20</v>
      </c>
      <c r="D55" s="4">
        <v>1.7816701510207269E-4</v>
      </c>
      <c r="E55" s="4">
        <v>1.8023917541724859E-3</v>
      </c>
      <c r="F55" s="4">
        <v>1.5292549788773044E-3</v>
      </c>
      <c r="G55" s="4">
        <v>1.5470408831716497E-2</v>
      </c>
      <c r="H55" s="4">
        <v>2.0111988219957536E-5</v>
      </c>
      <c r="I55" s="4">
        <v>2.0345899439858735E-4</v>
      </c>
      <c r="J55" s="4">
        <v>1.7262655549834125E-4</v>
      </c>
      <c r="K55" s="4">
        <v>1.7463427784495092E-3</v>
      </c>
      <c r="N55" s="1" t="s">
        <v>20</v>
      </c>
      <c r="O55">
        <v>1.3461120000000004</v>
      </c>
      <c r="P55">
        <v>0.51442149054660147</v>
      </c>
      <c r="Q55">
        <v>0.65160169292187586</v>
      </c>
      <c r="R55">
        <v>0.1511113911666713</v>
      </c>
      <c r="S55">
        <v>1.9370879999999999</v>
      </c>
      <c r="T55">
        <v>0.2822688211803831</v>
      </c>
      <c r="U55">
        <v>0.42612972269809407</v>
      </c>
      <c r="V55">
        <v>49.115282846539642</v>
      </c>
      <c r="W55" s="7">
        <v>54.424015965053272</v>
      </c>
      <c r="AC55" s="7"/>
    </row>
    <row r="56" spans="1:29" x14ac:dyDescent="0.25">
      <c r="A56" s="7"/>
      <c r="O56" s="7">
        <v>117.11470218228494</v>
      </c>
      <c r="P56" s="7">
        <v>6.486254964420989</v>
      </c>
      <c r="Q56" s="7">
        <v>5.5259384852988322</v>
      </c>
      <c r="R56" s="7">
        <v>70.813927518916756</v>
      </c>
      <c r="S56" s="7">
        <v>180.43189632272768</v>
      </c>
      <c r="T56" s="7">
        <v>9.9260696688362433</v>
      </c>
      <c r="U56" s="7">
        <v>7.6944708907923767</v>
      </c>
      <c r="V56" s="7">
        <v>53.758018967390946</v>
      </c>
      <c r="W56" s="22">
        <v>451.75127900066883</v>
      </c>
      <c r="X56" t="s">
        <v>64</v>
      </c>
      <c r="AC56" s="7"/>
    </row>
    <row r="57" spans="1:29" x14ac:dyDescent="0.25">
      <c r="A57" s="7"/>
      <c r="C57" s="1" t="s">
        <v>29</v>
      </c>
      <c r="D57" s="4">
        <v>2.0021428128390469E-2</v>
      </c>
      <c r="E57" s="4">
        <v>1.9791247266073746E-3</v>
      </c>
      <c r="F57" s="4">
        <v>2.3326117207313726E-3</v>
      </c>
      <c r="G57" s="4">
        <v>2.305794324195774E-4</v>
      </c>
      <c r="H57" s="4">
        <v>0.17736476616350855</v>
      </c>
      <c r="I57" s="4">
        <v>1.7532565214235494E-2</v>
      </c>
      <c r="J57" s="4">
        <v>2.0664017059358421E-2</v>
      </c>
      <c r="K57" s="4">
        <v>2.0426448528524906E-3</v>
      </c>
      <c r="X57">
        <v>1</v>
      </c>
      <c r="AC57" s="7"/>
    </row>
    <row r="58" spans="1:29" x14ac:dyDescent="0.25">
      <c r="A58" s="7"/>
      <c r="C58" s="1"/>
      <c r="D58" s="1" t="s">
        <v>13</v>
      </c>
      <c r="E58" s="1" t="s">
        <v>14</v>
      </c>
      <c r="F58" s="1" t="s">
        <v>15</v>
      </c>
      <c r="G58" s="1" t="s">
        <v>16</v>
      </c>
      <c r="H58" s="1" t="s">
        <v>17</v>
      </c>
      <c r="I58" s="1" t="s">
        <v>18</v>
      </c>
      <c r="J58" s="1" t="s">
        <v>19</v>
      </c>
      <c r="K58" s="1" t="s">
        <v>20</v>
      </c>
      <c r="L58" s="1"/>
      <c r="X58">
        <v>0</v>
      </c>
      <c r="Y58" t="s">
        <v>65</v>
      </c>
      <c r="AC58" s="7"/>
    </row>
    <row r="59" spans="1:29" x14ac:dyDescent="0.25">
      <c r="A59" s="7"/>
      <c r="B59" s="4">
        <v>8.2675869014477696E-2</v>
      </c>
      <c r="C59" s="1" t="s">
        <v>13</v>
      </c>
      <c r="D59" s="4">
        <v>1.6552889694255897E-3</v>
      </c>
      <c r="E59" s="4">
        <v>1.6362585666030528E-4</v>
      </c>
      <c r="F59" s="4">
        <v>1.9285070108482238E-4</v>
      </c>
      <c r="G59" s="4">
        <v>1.9063354952153594E-5</v>
      </c>
      <c r="H59" s="4">
        <v>1.4663786175117698E-2</v>
      </c>
      <c r="I59" s="4">
        <v>1.4495200651399218E-3</v>
      </c>
      <c r="J59" s="4">
        <v>1.7084155677124493E-3</v>
      </c>
      <c r="K59" s="4">
        <v>1.6887743829752957E-4</v>
      </c>
      <c r="AC59" s="7"/>
    </row>
    <row r="60" spans="1:29" x14ac:dyDescent="0.25">
      <c r="A60" s="7"/>
      <c r="B60" s="4">
        <v>8.1725367247046255E-3</v>
      </c>
      <c r="C60" s="1" t="s">
        <v>14</v>
      </c>
      <c r="D60" s="4">
        <v>1.6362585666030531E-4</v>
      </c>
      <c r="E60" s="4">
        <v>1.617446951096977E-5</v>
      </c>
      <c r="F60" s="4">
        <v>1.9063354952153594E-5</v>
      </c>
      <c r="G60" s="4">
        <v>1.8844188794105447E-6</v>
      </c>
      <c r="H60" s="4">
        <v>1.449520065139922E-3</v>
      </c>
      <c r="I60" s="4">
        <v>1.432855330916184E-4</v>
      </c>
      <c r="J60" s="4">
        <v>1.6887743829752957E-4</v>
      </c>
      <c r="K60" s="4">
        <v>1.6693590075465857E-5</v>
      </c>
      <c r="O60" s="23"/>
      <c r="P60" s="23"/>
      <c r="Q60" s="23"/>
      <c r="R60" s="23"/>
      <c r="S60" s="23"/>
      <c r="T60" s="23"/>
      <c r="U60" s="23"/>
      <c r="V60" s="23"/>
      <c r="AC60" s="7"/>
    </row>
    <row r="61" spans="1:29" x14ac:dyDescent="0.25">
      <c r="A61" s="7"/>
      <c r="B61" s="4">
        <v>9.6322150372160163E-3</v>
      </c>
      <c r="C61" s="1" t="s">
        <v>15</v>
      </c>
      <c r="D61" s="4">
        <v>1.9285070108482241E-4</v>
      </c>
      <c r="E61" s="4">
        <v>1.906335495215359E-5</v>
      </c>
      <c r="F61" s="4">
        <v>2.2468217692415054E-5</v>
      </c>
      <c r="G61" s="4">
        <v>2.2209906762245875E-6</v>
      </c>
      <c r="H61" s="4">
        <v>1.7084155677124496E-3</v>
      </c>
      <c r="I61" s="4">
        <v>1.6887743829752957E-4</v>
      </c>
      <c r="J61" s="4">
        <v>1.9904025584844046E-4</v>
      </c>
      <c r="K61" s="4">
        <v>1.9675194467337657E-5</v>
      </c>
      <c r="O61" s="23"/>
      <c r="P61" s="23"/>
      <c r="Q61" s="23"/>
      <c r="R61" s="23"/>
      <c r="S61" s="23"/>
      <c r="T61" s="23"/>
      <c r="U61" s="23"/>
      <c r="V61" s="23"/>
      <c r="AC61" s="7"/>
    </row>
    <row r="62" spans="1:29" x14ac:dyDescent="0.25">
      <c r="A62" s="7"/>
      <c r="B62" s="4">
        <v>9.5214761054540728E-4</v>
      </c>
      <c r="C62" s="1" t="s">
        <v>16</v>
      </c>
      <c r="D62" s="4">
        <v>1.906335495215359E-5</v>
      </c>
      <c r="E62" s="4">
        <v>1.8844188794105443E-6</v>
      </c>
      <c r="F62" s="4">
        <v>2.2209906762245875E-6</v>
      </c>
      <c r="G62" s="4">
        <v>2.1954565561921684E-7</v>
      </c>
      <c r="H62" s="4">
        <v>1.6887743829752957E-4</v>
      </c>
      <c r="I62" s="4">
        <v>1.6693590075465853E-5</v>
      </c>
      <c r="J62" s="4">
        <v>1.9675194467337653E-5</v>
      </c>
      <c r="K62" s="4">
        <v>1.9448994158363738E-6</v>
      </c>
      <c r="O62" s="23"/>
      <c r="P62" s="23"/>
      <c r="Q62" s="23"/>
      <c r="R62" s="23"/>
      <c r="S62" s="23"/>
      <c r="T62" s="23"/>
      <c r="U62" s="23"/>
      <c r="V62" s="23"/>
      <c r="AC62" s="7"/>
    </row>
    <row r="63" spans="1:29" x14ac:dyDescent="0.25">
      <c r="A63" s="7"/>
      <c r="B63" s="4">
        <v>0.73240460575958555</v>
      </c>
      <c r="C63" s="1" t="s">
        <v>17</v>
      </c>
      <c r="D63" s="4">
        <v>1.4663786175117698E-2</v>
      </c>
      <c r="E63" s="4">
        <v>1.4495200651399218E-3</v>
      </c>
      <c r="F63" s="4">
        <v>1.7084155677124493E-3</v>
      </c>
      <c r="G63" s="4">
        <v>1.6887743829752959E-4</v>
      </c>
      <c r="H63" s="4">
        <v>0.12990277163762556</v>
      </c>
      <c r="I63" s="4">
        <v>1.2840931513686371E-2</v>
      </c>
      <c r="J63" s="4">
        <v>1.5134421267768754E-2</v>
      </c>
      <c r="K63" s="4">
        <v>1.4960424981602749E-3</v>
      </c>
      <c r="O63" s="23"/>
      <c r="P63" s="23"/>
      <c r="Q63" s="23"/>
      <c r="R63" s="23"/>
      <c r="S63" s="23"/>
      <c r="T63" s="23"/>
      <c r="U63" s="23"/>
      <c r="V63" s="23"/>
      <c r="AC63" s="7"/>
    </row>
    <row r="64" spans="1:29" x14ac:dyDescent="0.25">
      <c r="A64" s="7"/>
      <c r="B64" s="4">
        <v>7.2398435108857018E-2</v>
      </c>
      <c r="C64" s="1" t="s">
        <v>18</v>
      </c>
      <c r="D64" s="4">
        <v>1.449520065139922E-3</v>
      </c>
      <c r="E64" s="4">
        <v>1.432855330916184E-4</v>
      </c>
      <c r="F64" s="4">
        <v>1.6887743829752959E-4</v>
      </c>
      <c r="G64" s="4">
        <v>1.6693590075465857E-5</v>
      </c>
      <c r="H64" s="4">
        <v>1.2840931513686373E-2</v>
      </c>
      <c r="I64" s="4">
        <v>1.2693302849546323E-3</v>
      </c>
      <c r="J64" s="4">
        <v>1.4960424981602751E-3</v>
      </c>
      <c r="K64" s="4">
        <v>1.4788429082968183E-4</v>
      </c>
      <c r="O64" s="23"/>
      <c r="P64" s="23"/>
      <c r="Q64" s="23"/>
      <c r="R64" s="23"/>
      <c r="S64" s="23"/>
      <c r="T64" s="23"/>
      <c r="U64" s="23"/>
      <c r="V64" s="23"/>
      <c r="AC64" s="7"/>
    </row>
    <row r="65" spans="1:29" x14ac:dyDescent="0.25">
      <c r="A65" s="7"/>
      <c r="B65" s="4">
        <v>8.5329355965866854E-2</v>
      </c>
      <c r="C65" s="1" t="s">
        <v>19</v>
      </c>
      <c r="D65" s="4">
        <v>1.7084155677124498E-3</v>
      </c>
      <c r="E65" s="4">
        <v>1.6887743829752959E-4</v>
      </c>
      <c r="F65" s="4">
        <v>1.9904025584844049E-4</v>
      </c>
      <c r="G65" s="4">
        <v>1.967519446733766E-5</v>
      </c>
      <c r="H65" s="4">
        <v>1.5134421267768757E-2</v>
      </c>
      <c r="I65" s="4">
        <v>1.4960424981602751E-3</v>
      </c>
      <c r="J65" s="4">
        <v>1.7632472673427399E-3</v>
      </c>
      <c r="K65" s="4">
        <v>1.7429756976089589E-4</v>
      </c>
      <c r="O65" s="23"/>
      <c r="P65" s="23"/>
      <c r="Q65" s="23"/>
      <c r="R65" s="23"/>
      <c r="S65" s="23"/>
      <c r="T65" s="23"/>
      <c r="U65" s="23"/>
      <c r="V65" s="23"/>
      <c r="AC65" s="7"/>
    </row>
    <row r="66" spans="1:29" x14ac:dyDescent="0.25">
      <c r="A66" s="7"/>
      <c r="B66" s="4">
        <v>8.4348347787469111E-3</v>
      </c>
      <c r="C66" s="1" t="s">
        <v>20</v>
      </c>
      <c r="D66" s="4">
        <v>1.6887743829752959E-4</v>
      </c>
      <c r="E66" s="4">
        <v>1.6693590075465857E-5</v>
      </c>
      <c r="F66" s="4">
        <v>1.967519446733766E-5</v>
      </c>
      <c r="G66" s="4">
        <v>1.9448994158363746E-6</v>
      </c>
      <c r="H66" s="4">
        <v>1.4960424981602753E-3</v>
      </c>
      <c r="I66" s="4">
        <v>1.4788429082968183E-4</v>
      </c>
      <c r="J66" s="4">
        <v>1.7429756976089589E-4</v>
      </c>
      <c r="K66" s="4">
        <v>1.7229371845468554E-5</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0</v>
      </c>
      <c r="E68" s="4">
        <v>0</v>
      </c>
      <c r="F68" s="4">
        <v>0</v>
      </c>
      <c r="G68" s="4">
        <v>0</v>
      </c>
      <c r="H68" s="4">
        <v>0</v>
      </c>
      <c r="I68" s="4">
        <v>0</v>
      </c>
      <c r="J68" s="4">
        <v>0</v>
      </c>
      <c r="K68" s="4">
        <v>0</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8.1725367247046255E-3</v>
      </c>
      <c r="C70" s="1" t="s">
        <v>13</v>
      </c>
      <c r="D70" s="4">
        <v>0</v>
      </c>
      <c r="E70" s="4">
        <v>0</v>
      </c>
      <c r="F70" s="4">
        <v>0</v>
      </c>
      <c r="G70" s="4">
        <v>0</v>
      </c>
      <c r="H70" s="4">
        <v>0</v>
      </c>
      <c r="I70" s="4">
        <v>0</v>
      </c>
      <c r="J70" s="4">
        <v>0</v>
      </c>
      <c r="K70" s="4">
        <v>0</v>
      </c>
      <c r="AC70" s="7"/>
    </row>
    <row r="71" spans="1:29" x14ac:dyDescent="0.25">
      <c r="A71" s="7"/>
      <c r="B71" s="4">
        <v>8.2675869014477696E-2</v>
      </c>
      <c r="C71" s="1" t="s">
        <v>14</v>
      </c>
      <c r="D71" s="4">
        <v>0</v>
      </c>
      <c r="E71" s="4">
        <v>0</v>
      </c>
      <c r="F71" s="4">
        <v>0</v>
      </c>
      <c r="G71" s="4">
        <v>0</v>
      </c>
      <c r="H71" s="4">
        <v>0</v>
      </c>
      <c r="I71" s="4">
        <v>0</v>
      </c>
      <c r="J71" s="4">
        <v>0</v>
      </c>
      <c r="K71" s="4">
        <v>0</v>
      </c>
      <c r="AC71" s="7"/>
    </row>
    <row r="72" spans="1:29" x14ac:dyDescent="0.25">
      <c r="A72" s="7"/>
      <c r="B72" s="4">
        <v>9.5214761054540728E-4</v>
      </c>
      <c r="C72" s="1" t="s">
        <v>15</v>
      </c>
      <c r="D72" s="4">
        <v>0</v>
      </c>
      <c r="E72" s="4">
        <v>0</v>
      </c>
      <c r="F72" s="4">
        <v>0</v>
      </c>
      <c r="G72" s="4">
        <v>0</v>
      </c>
      <c r="H72" s="4">
        <v>0</v>
      </c>
      <c r="I72" s="4">
        <v>0</v>
      </c>
      <c r="J72" s="4">
        <v>0</v>
      </c>
      <c r="K72" s="4">
        <v>0</v>
      </c>
      <c r="AC72" s="7"/>
    </row>
    <row r="73" spans="1:29" x14ac:dyDescent="0.25">
      <c r="A73" s="7"/>
      <c r="B73" s="4">
        <v>9.6322150372160163E-3</v>
      </c>
      <c r="C73" s="1" t="s">
        <v>16</v>
      </c>
      <c r="D73" s="4">
        <v>0</v>
      </c>
      <c r="E73" s="4">
        <v>0</v>
      </c>
      <c r="F73" s="4">
        <v>0</v>
      </c>
      <c r="G73" s="4">
        <v>0</v>
      </c>
      <c r="H73" s="4">
        <v>0</v>
      </c>
      <c r="I73" s="4">
        <v>0</v>
      </c>
      <c r="J73" s="4">
        <v>0</v>
      </c>
      <c r="K73" s="4">
        <v>0</v>
      </c>
      <c r="AC73" s="7"/>
    </row>
    <row r="74" spans="1:29" x14ac:dyDescent="0.25">
      <c r="A74" s="7"/>
      <c r="B74" s="4">
        <v>7.2398435108857018E-2</v>
      </c>
      <c r="C74" s="1" t="s">
        <v>17</v>
      </c>
      <c r="D74" s="4">
        <v>0</v>
      </c>
      <c r="E74" s="4">
        <v>0</v>
      </c>
      <c r="F74" s="4">
        <v>0</v>
      </c>
      <c r="G74" s="4">
        <v>0</v>
      </c>
      <c r="H74" s="4">
        <v>0</v>
      </c>
      <c r="I74" s="4">
        <v>0</v>
      </c>
      <c r="J74" s="4">
        <v>0</v>
      </c>
      <c r="K74" s="4">
        <v>0</v>
      </c>
      <c r="AC74" s="7"/>
    </row>
    <row r="75" spans="1:29" x14ac:dyDescent="0.25">
      <c r="A75" s="7"/>
      <c r="B75" s="4">
        <v>0.73240460575958555</v>
      </c>
      <c r="C75" s="1" t="s">
        <v>18</v>
      </c>
      <c r="D75" s="4">
        <v>0</v>
      </c>
      <c r="E75" s="4">
        <v>0</v>
      </c>
      <c r="F75" s="4">
        <v>0</v>
      </c>
      <c r="G75" s="4">
        <v>0</v>
      </c>
      <c r="H75" s="4">
        <v>0</v>
      </c>
      <c r="I75" s="4">
        <v>0</v>
      </c>
      <c r="J75" s="4">
        <v>0</v>
      </c>
      <c r="K75" s="4">
        <v>0</v>
      </c>
      <c r="AC75" s="7"/>
    </row>
    <row r="76" spans="1:29" x14ac:dyDescent="0.25">
      <c r="A76" s="7"/>
      <c r="B76" s="4">
        <v>8.4348347787469111E-3</v>
      </c>
      <c r="C76" s="1" t="s">
        <v>19</v>
      </c>
      <c r="D76" s="4">
        <v>0</v>
      </c>
      <c r="E76" s="4">
        <v>0</v>
      </c>
      <c r="F76" s="4">
        <v>0</v>
      </c>
      <c r="G76" s="4">
        <v>0</v>
      </c>
      <c r="H76" s="4">
        <v>0</v>
      </c>
      <c r="I76" s="4">
        <v>0</v>
      </c>
      <c r="J76" s="4">
        <v>0</v>
      </c>
      <c r="K76" s="4">
        <v>0</v>
      </c>
      <c r="AC76" s="7"/>
    </row>
    <row r="77" spans="1:29" x14ac:dyDescent="0.25">
      <c r="A77" s="7"/>
      <c r="B77" s="4">
        <v>8.5329355965866854E-2</v>
      </c>
      <c r="C77" s="1" t="s">
        <v>20</v>
      </c>
      <c r="D77" s="4">
        <v>0</v>
      </c>
      <c r="E77" s="4">
        <v>0</v>
      </c>
      <c r="F77" s="4">
        <v>0</v>
      </c>
      <c r="G77" s="4">
        <v>0</v>
      </c>
      <c r="H77" s="4">
        <v>0</v>
      </c>
      <c r="I77" s="4">
        <v>0</v>
      </c>
      <c r="J77" s="4">
        <v>0</v>
      </c>
      <c r="K77" s="4">
        <v>0</v>
      </c>
      <c r="AC77" s="7"/>
    </row>
    <row r="78" spans="1:29" x14ac:dyDescent="0.25">
      <c r="A78" s="7"/>
      <c r="AC78" s="7"/>
    </row>
    <row r="79" spans="1:29" x14ac:dyDescent="0.25">
      <c r="A79" s="7"/>
      <c r="C79" s="1" t="s">
        <v>31</v>
      </c>
      <c r="D79" s="4">
        <v>1.0937927285213323E-4</v>
      </c>
      <c r="E79" s="4">
        <v>1.081217693821895E-5</v>
      </c>
      <c r="F79" s="4">
        <v>9.388314526079638E-4</v>
      </c>
      <c r="G79" s="4">
        <v>9.2803796515314384E-5</v>
      </c>
      <c r="H79" s="4">
        <v>9.6896330412334E-4</v>
      </c>
      <c r="I79" s="4">
        <v>9.5782339904433605E-5</v>
      </c>
      <c r="J79" s="4">
        <v>8.3168703047031244E-3</v>
      </c>
      <c r="K79" s="4">
        <v>8.2212535302034922E-4</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9.6322150372160163E-3</v>
      </c>
      <c r="C81" s="1" t="s">
        <v>13</v>
      </c>
      <c r="D81" s="4">
        <v>1.0535646767260713E-6</v>
      </c>
      <c r="E81" s="4">
        <v>1.041452132893528E-7</v>
      </c>
      <c r="F81" s="4">
        <v>9.0430264352217853E-6</v>
      </c>
      <c r="G81" s="4">
        <v>8.939061243055465E-7</v>
      </c>
      <c r="H81" s="4">
        <v>9.3332629084873512E-6</v>
      </c>
      <c r="I81" s="4">
        <v>9.2259609472722107E-7</v>
      </c>
      <c r="J81" s="4">
        <v>8.0109883211536785E-5</v>
      </c>
      <c r="K81" s="4">
        <v>7.9188881878391328E-6</v>
      </c>
      <c r="AC81" s="7"/>
    </row>
    <row r="82" spans="1:29" x14ac:dyDescent="0.25">
      <c r="A82" s="7"/>
      <c r="B82" s="4">
        <v>9.5214761054540728E-4</v>
      </c>
      <c r="C82" s="1" t="s">
        <v>14</v>
      </c>
      <c r="D82" s="4">
        <v>1.041452132893528E-7</v>
      </c>
      <c r="E82" s="4">
        <v>1.029478843651933E-8</v>
      </c>
      <c r="F82" s="4">
        <v>8.939061243055465E-7</v>
      </c>
      <c r="G82" s="4">
        <v>8.836291310159878E-8</v>
      </c>
      <c r="H82" s="4">
        <v>9.2259609472722097E-7</v>
      </c>
      <c r="I82" s="4">
        <v>9.1198926072454475E-8</v>
      </c>
      <c r="J82" s="4">
        <v>7.9188881878391328E-6</v>
      </c>
      <c r="K82" s="4">
        <v>7.8278469044712497E-7</v>
      </c>
      <c r="AC82" s="7"/>
    </row>
    <row r="83" spans="1:29" x14ac:dyDescent="0.25">
      <c r="A83" s="7"/>
      <c r="B83" s="4">
        <v>8.2675869014477696E-2</v>
      </c>
      <c r="C83" s="1" t="s">
        <v>15</v>
      </c>
      <c r="D83" s="4">
        <v>9.0430264352217836E-6</v>
      </c>
      <c r="E83" s="4">
        <v>8.9390612430554639E-7</v>
      </c>
      <c r="F83" s="4">
        <v>7.7618706202487833E-5</v>
      </c>
      <c r="G83" s="4">
        <v>7.6726345247463736E-6</v>
      </c>
      <c r="H83" s="4">
        <v>8.0109883211536772E-5</v>
      </c>
      <c r="I83" s="4">
        <v>7.9188881878391328E-6</v>
      </c>
      <c r="J83" s="4">
        <v>6.876044799220347E-4</v>
      </c>
      <c r="K83" s="4">
        <v>6.7969927999791621E-5</v>
      </c>
      <c r="AC83" s="7"/>
    </row>
    <row r="84" spans="1:29" x14ac:dyDescent="0.25">
      <c r="A84" s="7"/>
      <c r="B84" s="4">
        <v>8.1725367247046255E-3</v>
      </c>
      <c r="C84" s="1" t="s">
        <v>16</v>
      </c>
      <c r="D84" s="4">
        <v>8.939061243055465E-7</v>
      </c>
      <c r="E84" s="4">
        <v>8.836291310159878E-8</v>
      </c>
      <c r="F84" s="4">
        <v>7.6726345247463736E-6</v>
      </c>
      <c r="G84" s="4">
        <v>7.5844243521342191E-7</v>
      </c>
      <c r="H84" s="4">
        <v>7.9188881878391328E-6</v>
      </c>
      <c r="I84" s="4">
        <v>7.8278469044712497E-7</v>
      </c>
      <c r="J84" s="4">
        <v>6.7969927999791634E-5</v>
      </c>
      <c r="K84" s="4">
        <v>6.7188496398695591E-6</v>
      </c>
      <c r="AC84" s="7"/>
    </row>
    <row r="85" spans="1:29" x14ac:dyDescent="0.25">
      <c r="A85" s="7"/>
      <c r="B85" s="4">
        <v>8.5329355965866854E-2</v>
      </c>
      <c r="C85" s="1" t="s">
        <v>17</v>
      </c>
      <c r="D85" s="4">
        <v>9.3332629084873529E-6</v>
      </c>
      <c r="E85" s="4">
        <v>9.2259609472722118E-7</v>
      </c>
      <c r="F85" s="4">
        <v>8.0109883211536799E-5</v>
      </c>
      <c r="G85" s="4">
        <v>7.9188881878391345E-6</v>
      </c>
      <c r="H85" s="4">
        <v>8.2681014695402979E-5</v>
      </c>
      <c r="I85" s="4">
        <v>8.173045376949068E-6</v>
      </c>
      <c r="J85" s="4">
        <v>7.0967318675196043E-4</v>
      </c>
      <c r="K85" s="4">
        <v>7.0151426896437335E-5</v>
      </c>
      <c r="AC85" s="7"/>
    </row>
    <row r="86" spans="1:29" x14ac:dyDescent="0.25">
      <c r="A86" s="7"/>
      <c r="B86" s="4">
        <v>8.4348347787469111E-3</v>
      </c>
      <c r="C86" s="1" t="s">
        <v>18</v>
      </c>
      <c r="D86" s="4">
        <v>9.2259609472722128E-7</v>
      </c>
      <c r="E86" s="4">
        <v>9.1198926072454488E-8</v>
      </c>
      <c r="F86" s="4">
        <v>7.9188881878391362E-6</v>
      </c>
      <c r="G86" s="4">
        <v>7.8278469044712518E-7</v>
      </c>
      <c r="H86" s="4">
        <v>8.173045376949068E-6</v>
      </c>
      <c r="I86" s="4">
        <v>8.0790821181567468E-7</v>
      </c>
      <c r="J86" s="4">
        <v>7.0151426896437335E-5</v>
      </c>
      <c r="K86" s="4">
        <v>6.9344915201456236E-6</v>
      </c>
      <c r="AC86" s="7"/>
    </row>
    <row r="87" spans="1:29" x14ac:dyDescent="0.25">
      <c r="A87" s="7"/>
      <c r="B87" s="4">
        <v>0.73240460575958555</v>
      </c>
      <c r="C87" s="1" t="s">
        <v>19</v>
      </c>
      <c r="D87" s="4">
        <v>8.0109883211536772E-5</v>
      </c>
      <c r="E87" s="4">
        <v>7.9188881878391328E-6</v>
      </c>
      <c r="F87" s="4">
        <v>6.876044799220347E-4</v>
      </c>
      <c r="G87" s="4">
        <v>6.7969927999791634E-5</v>
      </c>
      <c r="H87" s="4">
        <v>7.0967318675196022E-4</v>
      </c>
      <c r="I87" s="4">
        <v>7.0151426896437308E-5</v>
      </c>
      <c r="J87" s="4">
        <v>6.0913141166696961E-3</v>
      </c>
      <c r="K87" s="4">
        <v>6.0212839506382893E-4</v>
      </c>
      <c r="AC87" s="7"/>
    </row>
    <row r="88" spans="1:29" x14ac:dyDescent="0.25">
      <c r="A88" s="7"/>
      <c r="B88" s="4">
        <v>7.2398435108857018E-2</v>
      </c>
      <c r="C88" s="1" t="s">
        <v>20</v>
      </c>
      <c r="D88" s="4">
        <v>7.9188881878391345E-6</v>
      </c>
      <c r="E88" s="4">
        <v>7.8278469044712497E-7</v>
      </c>
      <c r="F88" s="4">
        <v>6.7969927999791634E-5</v>
      </c>
      <c r="G88" s="4">
        <v>6.7188496398695591E-6</v>
      </c>
      <c r="H88" s="4">
        <v>7.0151426896437321E-5</v>
      </c>
      <c r="I88" s="4">
        <v>6.9344915201456228E-6</v>
      </c>
      <c r="J88" s="4">
        <v>6.0212839506382904E-4</v>
      </c>
      <c r="K88" s="4">
        <v>5.9520589021989921E-5</v>
      </c>
      <c r="AC88" s="7"/>
    </row>
    <row r="89" spans="1:29" x14ac:dyDescent="0.25">
      <c r="A89" s="7"/>
      <c r="AC89" s="7"/>
    </row>
    <row r="90" spans="1:29" x14ac:dyDescent="0.25">
      <c r="A90" s="7"/>
      <c r="C90" s="1" t="s">
        <v>32</v>
      </c>
      <c r="D90" s="4">
        <v>3.4588684237012597E-4</v>
      </c>
      <c r="E90" s="4">
        <v>3.4990965763640998E-3</v>
      </c>
      <c r="F90" s="4">
        <v>2.968838960004056E-3</v>
      </c>
      <c r="G90" s="4">
        <v>3.0033678556671734E-2</v>
      </c>
      <c r="H90" s="4">
        <v>3.0641240236514303E-3</v>
      </c>
      <c r="I90" s="4">
        <v>3.0997611262820718E-2</v>
      </c>
      <c r="J90" s="4">
        <v>2.6300193200082388E-2</v>
      </c>
      <c r="K90" s="4">
        <v>0.26606075950598512</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9.5214761054540728E-4</v>
      </c>
      <c r="C92" s="1" t="s">
        <v>13</v>
      </c>
      <c r="D92" s="4">
        <v>3.2933533048181136E-7</v>
      </c>
      <c r="E92" s="4">
        <v>3.331656444252693E-6</v>
      </c>
      <c r="F92" s="4">
        <v>2.8267729218619739E-6</v>
      </c>
      <c r="G92" s="4">
        <v>2.8596495273623829E-5</v>
      </c>
      <c r="H92" s="4">
        <v>2.9174983675344885E-6</v>
      </c>
      <c r="I92" s="4">
        <v>2.951430149651015E-5</v>
      </c>
      <c r="J92" s="4">
        <v>2.5041666112341016E-5</v>
      </c>
      <c r="K92" s="4">
        <v>2.5332911642351997E-4</v>
      </c>
      <c r="AC92" s="7"/>
    </row>
    <row r="93" spans="1:29" x14ac:dyDescent="0.25">
      <c r="A93" s="7"/>
      <c r="B93" s="4">
        <v>9.6322150372160163E-3</v>
      </c>
      <c r="C93" s="1" t="s">
        <v>14</v>
      </c>
      <c r="D93" s="4">
        <v>3.3316564442526934E-6</v>
      </c>
      <c r="E93" s="4">
        <v>3.3704050659525363E-5</v>
      </c>
      <c r="F93" s="4">
        <v>2.8596495273623829E-5</v>
      </c>
      <c r="G93" s="4">
        <v>2.8929085021648569E-4</v>
      </c>
      <c r="H93" s="4">
        <v>2.951430149651015E-5</v>
      </c>
      <c r="I93" s="4">
        <v>2.9857565732351824E-4</v>
      </c>
      <c r="J93" s="4">
        <v>2.5332911642351997E-4</v>
      </c>
      <c r="K93" s="4">
        <v>2.5627544485266641E-3</v>
      </c>
      <c r="AC93" s="7"/>
    </row>
    <row r="94" spans="1:29" x14ac:dyDescent="0.25">
      <c r="A94" s="7"/>
      <c r="B94" s="4">
        <v>8.1725367247046255E-3</v>
      </c>
      <c r="C94" s="1" t="s">
        <v>15</v>
      </c>
      <c r="D94" s="4">
        <v>2.8267729218619743E-6</v>
      </c>
      <c r="E94" s="4">
        <v>2.8596495273623829E-5</v>
      </c>
      <c r="F94" s="4">
        <v>2.4262945430367033E-5</v>
      </c>
      <c r="G94" s="4">
        <v>2.4545134098237357E-4</v>
      </c>
      <c r="H94" s="4">
        <v>2.5041666112341019E-5</v>
      </c>
      <c r="I94" s="4">
        <v>2.5332911642352002E-4</v>
      </c>
      <c r="J94" s="4">
        <v>2.1493929479450018E-4</v>
      </c>
      <c r="K94" s="4">
        <v>2.1743913280654688E-3</v>
      </c>
      <c r="AC94" s="7"/>
    </row>
    <row r="95" spans="1:29" x14ac:dyDescent="0.25">
      <c r="A95" s="7"/>
      <c r="B95" s="4">
        <v>8.2675869014477696E-2</v>
      </c>
      <c r="C95" s="1" t="s">
        <v>16</v>
      </c>
      <c r="D95" s="4">
        <v>2.8596495273623829E-5</v>
      </c>
      <c r="E95" s="4">
        <v>2.8929085021648569E-4</v>
      </c>
      <c r="F95" s="4">
        <v>2.4545134098237351E-4</v>
      </c>
      <c r="G95" s="4">
        <v>2.4830604743743198E-3</v>
      </c>
      <c r="H95" s="4">
        <v>2.5332911642352002E-4</v>
      </c>
      <c r="I95" s="4">
        <v>2.5627544485266641E-3</v>
      </c>
      <c r="J95" s="4">
        <v>2.1743913280654684E-3</v>
      </c>
      <c r="K95" s="4">
        <v>2.1996804502809279E-2</v>
      </c>
      <c r="AC95" s="7"/>
    </row>
    <row r="96" spans="1:29" x14ac:dyDescent="0.25">
      <c r="A96" s="7"/>
      <c r="B96" s="4">
        <v>8.4348347787469111E-3</v>
      </c>
      <c r="C96" s="1" t="s">
        <v>17</v>
      </c>
      <c r="D96" s="4">
        <v>2.9174983675344894E-6</v>
      </c>
      <c r="E96" s="4">
        <v>2.9514301496510157E-5</v>
      </c>
      <c r="F96" s="4">
        <v>2.5041666112341022E-5</v>
      </c>
      <c r="G96" s="4">
        <v>2.5332911642352008E-4</v>
      </c>
      <c r="H96" s="4">
        <v>2.5845379881089009E-5</v>
      </c>
      <c r="I96" s="4">
        <v>2.6145972953771715E-4</v>
      </c>
      <c r="J96" s="4">
        <v>2.2183778429181794E-4</v>
      </c>
      <c r="K96" s="4">
        <v>2.244178547540901E-3</v>
      </c>
      <c r="AC96" s="7"/>
    </row>
    <row r="97" spans="1:29" x14ac:dyDescent="0.25">
      <c r="A97" s="7"/>
      <c r="B97" s="4">
        <v>8.5329355965866854E-2</v>
      </c>
      <c r="C97" s="1" t="s">
        <v>18</v>
      </c>
      <c r="D97" s="4">
        <v>2.9514301496510157E-5</v>
      </c>
      <c r="E97" s="4">
        <v>2.985756573235183E-4</v>
      </c>
      <c r="F97" s="4">
        <v>2.5332911642352002E-4</v>
      </c>
      <c r="G97" s="4">
        <v>2.5627544485266646E-3</v>
      </c>
      <c r="H97" s="4">
        <v>2.6145972953771715E-4</v>
      </c>
      <c r="I97" s="4">
        <v>2.6450062055367925E-3</v>
      </c>
      <c r="J97" s="4">
        <v>2.244178547540901E-3</v>
      </c>
      <c r="K97" s="4">
        <v>2.2702793256435098E-2</v>
      </c>
      <c r="AC97" s="7"/>
    </row>
    <row r="98" spans="1:29" x14ac:dyDescent="0.25">
      <c r="A98" s="7"/>
      <c r="B98" s="4">
        <v>7.2398435108857018E-2</v>
      </c>
      <c r="C98" s="1" t="s">
        <v>19</v>
      </c>
      <c r="D98" s="4">
        <v>2.5041666112341022E-5</v>
      </c>
      <c r="E98" s="4">
        <v>2.5332911642352002E-4</v>
      </c>
      <c r="F98" s="4">
        <v>2.1493929479450021E-4</v>
      </c>
      <c r="G98" s="4">
        <v>2.1743913280654692E-3</v>
      </c>
      <c r="H98" s="4">
        <v>2.2183778429181794E-4</v>
      </c>
      <c r="I98" s="4">
        <v>2.2441785475409014E-3</v>
      </c>
      <c r="J98" s="4">
        <v>1.9040928307465673E-3</v>
      </c>
      <c r="K98" s="4">
        <v>1.9262382632107278E-2</v>
      </c>
      <c r="AC98" s="7"/>
    </row>
    <row r="99" spans="1:29" x14ac:dyDescent="0.25">
      <c r="A99" s="7"/>
      <c r="B99" s="4">
        <v>0.73240460575958555</v>
      </c>
      <c r="C99" s="1" t="s">
        <v>20</v>
      </c>
      <c r="D99" s="4">
        <v>2.5332911642352002E-4</v>
      </c>
      <c r="E99" s="4">
        <v>2.5627544485266641E-3</v>
      </c>
      <c r="F99" s="4">
        <v>2.1743913280654684E-3</v>
      </c>
      <c r="G99" s="4">
        <v>2.1996804502809279E-2</v>
      </c>
      <c r="H99" s="4">
        <v>2.244178547540901E-3</v>
      </c>
      <c r="I99" s="4">
        <v>2.2702793256435098E-2</v>
      </c>
      <c r="J99" s="4">
        <v>1.9262382632107274E-2</v>
      </c>
      <c r="K99" s="4">
        <v>0.19486412567407693</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7.0184707028166274E-2</v>
      </c>
      <c r="E103" s="4">
        <v>7.1231688552558549E-3</v>
      </c>
      <c r="F103" s="4">
        <v>8.3425327288821766E-3</v>
      </c>
      <c r="G103" s="4">
        <v>2.4158931313938183E-3</v>
      </c>
      <c r="H103" s="4">
        <v>2.2411672149565399E-2</v>
      </c>
      <c r="I103" s="4">
        <v>2.265181690896634E-3</v>
      </c>
      <c r="J103" s="4">
        <v>2.7321859959620995E-3</v>
      </c>
      <c r="K103" s="4">
        <v>6.9735729610149099E-4</v>
      </c>
      <c r="L103" s="7">
        <v>0.11617269887622374</v>
      </c>
      <c r="AC103" s="7"/>
    </row>
    <row r="104" spans="1:29" x14ac:dyDescent="0.25">
      <c r="A104" s="7"/>
      <c r="C104" s="1" t="s">
        <v>14</v>
      </c>
      <c r="D104" s="4">
        <v>7.1231688552558558E-3</v>
      </c>
      <c r="E104" s="4">
        <v>2.5795647925728219E-3</v>
      </c>
      <c r="F104" s="4">
        <v>2.4158931313938183E-3</v>
      </c>
      <c r="G104" s="4">
        <v>1.6336189350391366E-2</v>
      </c>
      <c r="H104" s="4">
        <v>2.2651816908966344E-3</v>
      </c>
      <c r="I104" s="4">
        <v>7.2750924975632336E-4</v>
      </c>
      <c r="J104" s="4">
        <v>6.9735729610149099E-4</v>
      </c>
      <c r="K104" s="4">
        <v>4.3914266658750343E-3</v>
      </c>
      <c r="L104" s="7">
        <v>3.6536291032243345E-2</v>
      </c>
      <c r="T104" s="6"/>
      <c r="AC104" s="7"/>
    </row>
    <row r="105" spans="1:29" x14ac:dyDescent="0.25">
      <c r="A105" s="7"/>
      <c r="C105" s="1" t="s">
        <v>15</v>
      </c>
      <c r="D105" s="4">
        <v>8.3425327288821766E-3</v>
      </c>
      <c r="E105" s="4">
        <v>2.4158931313938183E-3</v>
      </c>
      <c r="F105" s="4">
        <v>2.3934281090920422E-3</v>
      </c>
      <c r="G105" s="4">
        <v>1.3894551286307058E-2</v>
      </c>
      <c r="H105" s="4">
        <v>2.7321859959620995E-3</v>
      </c>
      <c r="I105" s="4">
        <v>6.9735729610149099E-4</v>
      </c>
      <c r="J105" s="4">
        <v>1.3577238935031653E-3</v>
      </c>
      <c r="K105" s="4">
        <v>3.8016679961514334E-3</v>
      </c>
      <c r="L105" s="7">
        <v>3.5635340437393283E-2</v>
      </c>
      <c r="AC105" s="7"/>
    </row>
    <row r="106" spans="1:29" x14ac:dyDescent="0.25">
      <c r="A106" s="7"/>
      <c r="C106" s="1" t="s">
        <v>16</v>
      </c>
      <c r="D106" s="4">
        <v>2.4158931313938183E-3</v>
      </c>
      <c r="E106" s="4">
        <v>1.6336189350391366E-2</v>
      </c>
      <c r="F106" s="4">
        <v>1.3894551286307058E-2</v>
      </c>
      <c r="G106" s="4">
        <v>0.13954156278727806</v>
      </c>
      <c r="H106" s="4">
        <v>6.9735729610149099E-4</v>
      </c>
      <c r="I106" s="4">
        <v>4.3914266658750343E-3</v>
      </c>
      <c r="J106" s="4">
        <v>3.8016679961514329E-3</v>
      </c>
      <c r="K106" s="4">
        <v>3.7476902810601738E-2</v>
      </c>
      <c r="L106" s="7">
        <v>0.21855555132409996</v>
      </c>
      <c r="AC106" s="7"/>
    </row>
    <row r="107" spans="1:29" x14ac:dyDescent="0.25">
      <c r="A107" s="7"/>
      <c r="C107" s="1" t="s">
        <v>17</v>
      </c>
      <c r="D107" s="4">
        <v>2.2411672149565399E-2</v>
      </c>
      <c r="E107" s="4">
        <v>2.265181690896634E-3</v>
      </c>
      <c r="F107" s="4">
        <v>2.7321859959620995E-3</v>
      </c>
      <c r="G107" s="4">
        <v>6.973572961014911E-4</v>
      </c>
      <c r="H107" s="4">
        <v>0.1308845180510258</v>
      </c>
      <c r="I107" s="4">
        <v>1.3199202639947024E-2</v>
      </c>
      <c r="J107" s="4">
        <v>1.6169628492919957E-2</v>
      </c>
      <c r="K107" s="4">
        <v>3.8405383474669199E-3</v>
      </c>
      <c r="L107" s="7">
        <v>0.19220028466388531</v>
      </c>
      <c r="AC107" s="7"/>
    </row>
    <row r="108" spans="1:29" x14ac:dyDescent="0.25">
      <c r="A108" s="7"/>
      <c r="C108" s="1" t="s">
        <v>18</v>
      </c>
      <c r="D108" s="4">
        <v>2.2651816908966344E-3</v>
      </c>
      <c r="E108" s="4">
        <v>7.2750924975632336E-4</v>
      </c>
      <c r="F108" s="4">
        <v>6.9735729610149099E-4</v>
      </c>
      <c r="G108" s="4">
        <v>4.3914266658750352E-3</v>
      </c>
      <c r="H108" s="4">
        <v>1.3199202639947026E-2</v>
      </c>
      <c r="I108" s="4">
        <v>3.9473788513571537E-3</v>
      </c>
      <c r="J108" s="4">
        <v>3.8405383474669204E-3</v>
      </c>
      <c r="K108" s="4">
        <v>2.3062064863170997E-2</v>
      </c>
      <c r="L108" s="7">
        <v>5.2130659604571583E-2</v>
      </c>
      <c r="AC108" s="7"/>
    </row>
    <row r="109" spans="1:29" x14ac:dyDescent="0.25">
      <c r="A109" s="7"/>
      <c r="C109" s="1" t="s">
        <v>19</v>
      </c>
      <c r="D109" s="4">
        <v>2.7321859959620995E-3</v>
      </c>
      <c r="E109" s="4">
        <v>6.9735729610149099E-4</v>
      </c>
      <c r="F109" s="4">
        <v>1.3577238935031653E-3</v>
      </c>
      <c r="G109" s="4">
        <v>3.8016679961514338E-3</v>
      </c>
      <c r="H109" s="4">
        <v>1.6169628492919957E-2</v>
      </c>
      <c r="I109" s="4">
        <v>3.8405383474669208E-3</v>
      </c>
      <c r="J109" s="4">
        <v>9.7875679949170364E-3</v>
      </c>
      <c r="K109" s="4">
        <v>2.0212606488145598E-2</v>
      </c>
      <c r="L109" s="7">
        <v>5.8599276505167705E-2</v>
      </c>
      <c r="AC109" s="7"/>
    </row>
    <row r="110" spans="1:29" x14ac:dyDescent="0.25">
      <c r="A110" s="7"/>
      <c r="C110" s="1" t="s">
        <v>20</v>
      </c>
      <c r="D110" s="4">
        <v>6.9735729610149099E-4</v>
      </c>
      <c r="E110" s="4">
        <v>4.3914266658750352E-3</v>
      </c>
      <c r="F110" s="4">
        <v>3.8016679961514329E-3</v>
      </c>
      <c r="G110" s="4">
        <v>3.7476902810601745E-2</v>
      </c>
      <c r="H110" s="4">
        <v>3.8405383474669208E-3</v>
      </c>
      <c r="I110" s="4">
        <v>2.3062064863170997E-2</v>
      </c>
      <c r="J110" s="4">
        <v>2.0212606488145594E-2</v>
      </c>
      <c r="K110" s="4">
        <v>0.19668733420031292</v>
      </c>
      <c r="L110" s="7">
        <v>0.29016989866782616</v>
      </c>
      <c r="AC110" s="7"/>
    </row>
    <row r="111" spans="1:29" x14ac:dyDescent="0.25">
      <c r="A111" s="7"/>
      <c r="D111" s="3">
        <v>0.11617269887622374</v>
      </c>
      <c r="E111" s="3">
        <v>3.6536291032243345E-2</v>
      </c>
      <c r="F111" s="3">
        <v>3.5635340437393283E-2</v>
      </c>
      <c r="G111" s="3">
        <v>0.21855555132409998</v>
      </c>
      <c r="H111" s="3">
        <v>0.19220028466388531</v>
      </c>
      <c r="I111" s="3">
        <v>5.2130659604571583E-2</v>
      </c>
      <c r="J111" s="3">
        <v>5.8599276505167698E-2</v>
      </c>
      <c r="K111" s="3">
        <v>0.29016989866782616</v>
      </c>
      <c r="L111" s="7">
        <v>1.000000001111411</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0.59310011944145069</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0.60296006693448712</v>
      </c>
      <c r="R114" t="s">
        <v>58</v>
      </c>
      <c r="W114" s="1" t="s">
        <v>45</v>
      </c>
      <c r="X114" s="7" t="s">
        <v>47</v>
      </c>
      <c r="Y114" s="7" t="s">
        <v>48</v>
      </c>
      <c r="Z114" s="7" t="s">
        <v>49</v>
      </c>
      <c r="AA114" s="7" t="s">
        <v>50</v>
      </c>
      <c r="AB114" s="7"/>
      <c r="AC114" s="7"/>
    </row>
    <row r="115" spans="1:29" x14ac:dyDescent="0.25">
      <c r="A115" s="7"/>
      <c r="C115" s="1" t="s">
        <v>13</v>
      </c>
      <c r="D115" s="5">
        <v>7.0184707028166278</v>
      </c>
      <c r="E115" s="5">
        <v>0.71231688552558547</v>
      </c>
      <c r="F115" s="5">
        <v>0.83425327288821771</v>
      </c>
      <c r="G115" s="5">
        <v>0.24158931313938181</v>
      </c>
      <c r="H115" s="5">
        <v>2.24116721495654</v>
      </c>
      <c r="I115" s="5">
        <v>0.22651816908966341</v>
      </c>
      <c r="J115" s="5">
        <v>0.27321859959620998</v>
      </c>
      <c r="K115" s="5">
        <v>6.9735729610149094E-2</v>
      </c>
      <c r="L115" s="13">
        <v>11.617269887622376</v>
      </c>
      <c r="N115" t="s">
        <v>38</v>
      </c>
      <c r="O115" s="8">
        <v>0.59739240062874099</v>
      </c>
      <c r="W115" s="1" t="s">
        <v>13</v>
      </c>
      <c r="X115" s="5">
        <v>11.617269887622376</v>
      </c>
      <c r="Y115" s="5">
        <v>7.0184707028166278</v>
      </c>
      <c r="Z115" s="5">
        <v>4.5987991848057481</v>
      </c>
      <c r="AA115" s="8">
        <v>4.8609857757654409E-5</v>
      </c>
      <c r="AB115" s="8">
        <v>7.7968280265139259E-2</v>
      </c>
      <c r="AC115" s="7"/>
    </row>
    <row r="116" spans="1:29" x14ac:dyDescent="0.25">
      <c r="A116" s="7"/>
      <c r="C116" s="1" t="s">
        <v>14</v>
      </c>
      <c r="D116" s="5">
        <v>0.71231688552558559</v>
      </c>
      <c r="E116" s="5">
        <v>0.25795647925728221</v>
      </c>
      <c r="F116" s="5">
        <v>0.24158931313938181</v>
      </c>
      <c r="G116" s="5">
        <v>1.6336189350391366</v>
      </c>
      <c r="H116" s="5">
        <v>0.22651816908966343</v>
      </c>
      <c r="I116" s="5">
        <v>7.2750924975632333E-2</v>
      </c>
      <c r="J116" s="5">
        <v>6.9735729610149094E-2</v>
      </c>
      <c r="K116" s="5">
        <v>0.43914266658750345</v>
      </c>
      <c r="L116" s="13">
        <v>3.6536291032243344</v>
      </c>
      <c r="M116" s="10" t="s">
        <v>39</v>
      </c>
      <c r="N116" s="10">
        <v>1</v>
      </c>
      <c r="O116" s="10">
        <v>2</v>
      </c>
      <c r="P116" s="10" t="s">
        <v>39</v>
      </c>
      <c r="Q116" s="10">
        <v>1</v>
      </c>
      <c r="R116" s="10">
        <v>2</v>
      </c>
      <c r="S116" s="10" t="s">
        <v>11</v>
      </c>
      <c r="T116" s="10" t="s">
        <v>42</v>
      </c>
      <c r="U116" s="10" t="s">
        <v>43</v>
      </c>
      <c r="V116" s="10"/>
      <c r="W116" s="1" t="s">
        <v>14</v>
      </c>
      <c r="X116" s="5">
        <v>3.6536291032243344</v>
      </c>
      <c r="Y116" s="5">
        <v>0.25795647925728221</v>
      </c>
      <c r="Z116" s="5">
        <v>3.3956726239670521</v>
      </c>
      <c r="AA116" s="8">
        <v>0.25795647925728221</v>
      </c>
      <c r="AB116" s="8">
        <v>0.10755205753498212</v>
      </c>
      <c r="AC116" s="7"/>
    </row>
    <row r="117" spans="1:29" x14ac:dyDescent="0.25">
      <c r="A117" s="7"/>
      <c r="C117" s="1" t="s">
        <v>15</v>
      </c>
      <c r="D117" s="5">
        <v>0.83425327288821771</v>
      </c>
      <c r="E117" s="5">
        <v>0.24158931313938181</v>
      </c>
      <c r="F117" s="5">
        <v>0.23934281090920423</v>
      </c>
      <c r="G117" s="5">
        <v>1.3894551286307057</v>
      </c>
      <c r="H117" s="5">
        <v>0.27321859959620998</v>
      </c>
      <c r="I117" s="5">
        <v>6.9735729610149094E-2</v>
      </c>
      <c r="J117" s="5">
        <v>0.13577238935031652</v>
      </c>
      <c r="K117" s="5">
        <v>0.38016679961514332</v>
      </c>
      <c r="L117" s="13">
        <v>3.5635340437393288</v>
      </c>
      <c r="M117" s="10">
        <v>1</v>
      </c>
      <c r="N117" s="5">
        <v>31.575571968435739</v>
      </c>
      <c r="O117" s="5">
        <v>9.1144161985602992</v>
      </c>
      <c r="P117" s="10">
        <v>1</v>
      </c>
      <c r="Q117">
        <v>5.7050163385033263E-3</v>
      </c>
      <c r="R117">
        <v>0.13625924431778313</v>
      </c>
      <c r="S117" s="12">
        <v>0.15629146000553193</v>
      </c>
      <c r="T117">
        <v>0.30740591202663731</v>
      </c>
      <c r="U117">
        <v>0.69259408797336275</v>
      </c>
      <c r="W117" s="1" t="s">
        <v>15</v>
      </c>
      <c r="X117" s="5">
        <v>3.5635340437393288</v>
      </c>
      <c r="Y117" s="5">
        <v>0.23934281090920423</v>
      </c>
      <c r="Z117" s="5">
        <v>3.3241912328301244</v>
      </c>
      <c r="AA117" s="8">
        <v>0.23934281090920423</v>
      </c>
      <c r="AB117" s="8">
        <v>0.13739206254834818</v>
      </c>
      <c r="AC117" s="7"/>
    </row>
    <row r="118" spans="1:29" x14ac:dyDescent="0.25">
      <c r="A118" s="7"/>
      <c r="C118" s="1" t="s">
        <v>16</v>
      </c>
      <c r="D118" s="5">
        <v>0.24158931313938181</v>
      </c>
      <c r="E118" s="5">
        <v>1.6336189350391366</v>
      </c>
      <c r="F118" s="5">
        <v>1.3894551286307057</v>
      </c>
      <c r="G118" s="5">
        <v>13.954156278727806</v>
      </c>
      <c r="H118" s="5">
        <v>6.9735729610149094E-2</v>
      </c>
      <c r="I118" s="5">
        <v>0.43914266658750345</v>
      </c>
      <c r="J118" s="5">
        <v>0.38016679961514327</v>
      </c>
      <c r="K118" s="5">
        <v>3.7476902810601738</v>
      </c>
      <c r="L118" s="13">
        <v>21.85555513241</v>
      </c>
      <c r="M118" s="10">
        <v>2</v>
      </c>
      <c r="N118" s="5">
        <v>9.1144161985602992</v>
      </c>
      <c r="O118" s="5">
        <v>50.195595745584768</v>
      </c>
      <c r="P118" s="10">
        <v>2</v>
      </c>
      <c r="Q118">
        <v>1.4363033471148324E-3</v>
      </c>
      <c r="R118">
        <v>1.2890896002130654E-2</v>
      </c>
      <c r="W118" s="1" t="s">
        <v>16</v>
      </c>
      <c r="X118" s="5">
        <v>21.85555513241</v>
      </c>
      <c r="Y118" s="5">
        <v>13.954156278727806</v>
      </c>
      <c r="Z118" s="5">
        <v>7.9013988536821937</v>
      </c>
      <c r="AA118" s="8">
        <v>1.5061081000550345E-4</v>
      </c>
      <c r="AB118" s="8">
        <v>0.10283241087632529</v>
      </c>
      <c r="AC118" s="7"/>
    </row>
    <row r="119" spans="1:29" x14ac:dyDescent="0.25">
      <c r="A119" s="7"/>
      <c r="C119" s="1" t="s">
        <v>17</v>
      </c>
      <c r="D119" s="5">
        <v>2.24116721495654</v>
      </c>
      <c r="E119" s="5">
        <v>0.22651816908966341</v>
      </c>
      <c r="F119" s="5">
        <v>0.27321859959620998</v>
      </c>
      <c r="G119" s="5">
        <v>6.9735729610149108E-2</v>
      </c>
      <c r="H119" s="5">
        <v>13.088451805102579</v>
      </c>
      <c r="I119" s="5">
        <v>1.3199202639947025</v>
      </c>
      <c r="J119" s="5">
        <v>1.6169628492919956</v>
      </c>
      <c r="K119" s="5">
        <v>0.38405383474669197</v>
      </c>
      <c r="L119" s="13">
        <v>19.220028466388531</v>
      </c>
      <c r="M119" s="10" t="s">
        <v>40</v>
      </c>
      <c r="N119" s="10">
        <v>1</v>
      </c>
      <c r="O119" s="10">
        <v>2</v>
      </c>
      <c r="P119" s="10" t="s">
        <v>40</v>
      </c>
      <c r="Q119" s="10">
        <v>1</v>
      </c>
      <c r="R119" s="10">
        <v>2</v>
      </c>
      <c r="S119" s="10" t="s">
        <v>11</v>
      </c>
      <c r="T119" s="10" t="s">
        <v>42</v>
      </c>
      <c r="U119" s="10" t="s">
        <v>43</v>
      </c>
      <c r="W119" s="1" t="s">
        <v>17</v>
      </c>
      <c r="X119" s="5">
        <v>19.220028466388531</v>
      </c>
      <c r="Y119" s="5">
        <v>13.088451805102579</v>
      </c>
      <c r="Z119" s="5">
        <v>6.1315766612859512</v>
      </c>
      <c r="AA119" s="8">
        <v>5.977576219407839E-4</v>
      </c>
      <c r="AB119" s="8">
        <v>0.12299594979949066</v>
      </c>
      <c r="AC119" s="7"/>
    </row>
    <row r="120" spans="1:29" x14ac:dyDescent="0.25">
      <c r="A120" s="7"/>
      <c r="C120" s="1" t="s">
        <v>18</v>
      </c>
      <c r="D120" s="5">
        <v>0.22651816908966343</v>
      </c>
      <c r="E120" s="5">
        <v>7.2750924975632333E-2</v>
      </c>
      <c r="F120" s="5">
        <v>6.9735729610149094E-2</v>
      </c>
      <c r="G120" s="5">
        <v>0.43914266658750351</v>
      </c>
      <c r="H120" s="5">
        <v>1.3199202639947025</v>
      </c>
      <c r="I120" s="5">
        <v>0.39473788513571539</v>
      </c>
      <c r="J120" s="5">
        <v>0.38405383474669202</v>
      </c>
      <c r="K120" s="5">
        <v>2.3062064863170995</v>
      </c>
      <c r="L120" s="13">
        <v>5.2130659604571576</v>
      </c>
      <c r="M120" s="10">
        <v>1</v>
      </c>
      <c r="N120" s="5">
        <v>30.358000127575782</v>
      </c>
      <c r="O120" s="5">
        <v>9.3459932901166205</v>
      </c>
      <c r="P120" s="10">
        <v>1</v>
      </c>
      <c r="Q120">
        <v>4.2217567298795042E-3</v>
      </c>
      <c r="R120">
        <v>4.5765577108299607E-2</v>
      </c>
      <c r="S120" s="12">
        <v>0.26547319112617468</v>
      </c>
      <c r="T120">
        <v>0.39361531238971054</v>
      </c>
      <c r="U120">
        <v>0.60638468761028941</v>
      </c>
      <c r="W120" s="1" t="s">
        <v>18</v>
      </c>
      <c r="X120" s="5">
        <v>5.2130659604571576</v>
      </c>
      <c r="Y120" s="5">
        <v>0.39473788513571539</v>
      </c>
      <c r="Z120" s="5">
        <v>4.8183280753214426</v>
      </c>
      <c r="AA120" s="8">
        <v>0.39473788513571539</v>
      </c>
      <c r="AB120" s="8">
        <v>6.8498217017340848E-3</v>
      </c>
      <c r="AC120" s="7"/>
    </row>
    <row r="121" spans="1:29" x14ac:dyDescent="0.25">
      <c r="A121" s="7"/>
      <c r="C121" s="1" t="s">
        <v>19</v>
      </c>
      <c r="D121" s="5">
        <v>0.27321859959620998</v>
      </c>
      <c r="E121" s="5">
        <v>6.9735729610149094E-2</v>
      </c>
      <c r="F121" s="5">
        <v>0.13577238935031652</v>
      </c>
      <c r="G121" s="5">
        <v>0.38016679961514338</v>
      </c>
      <c r="H121" s="5">
        <v>1.6169628492919956</v>
      </c>
      <c r="I121" s="5">
        <v>0.38405383474669208</v>
      </c>
      <c r="J121" s="5">
        <v>0.97875679949170369</v>
      </c>
      <c r="K121" s="5">
        <v>2.0212606488145597</v>
      </c>
      <c r="L121" s="13">
        <v>5.8599276505167701</v>
      </c>
      <c r="M121" s="10">
        <v>2</v>
      </c>
      <c r="N121" s="5">
        <v>9.3459932901166205</v>
      </c>
      <c r="O121" s="5">
        <v>50.950013403332093</v>
      </c>
      <c r="P121" s="10">
        <v>2</v>
      </c>
      <c r="Q121">
        <v>0.19384755379129515</v>
      </c>
      <c r="R121">
        <v>2.1638303496700408E-2</v>
      </c>
      <c r="W121" s="1" t="s">
        <v>19</v>
      </c>
      <c r="X121" s="5">
        <v>5.8599276505167701</v>
      </c>
      <c r="Y121" s="5">
        <v>0.97875679949170369</v>
      </c>
      <c r="Z121" s="5">
        <v>4.8811708510250664</v>
      </c>
      <c r="AA121" s="8">
        <v>4.610681305816112E-4</v>
      </c>
      <c r="AB121" s="8">
        <v>0.15907291352712627</v>
      </c>
      <c r="AC121" s="7"/>
    </row>
    <row r="122" spans="1:29" x14ac:dyDescent="0.25">
      <c r="A122" s="7"/>
      <c r="C122" s="1" t="s">
        <v>20</v>
      </c>
      <c r="D122" s="5">
        <v>6.9735729610149094E-2</v>
      </c>
      <c r="E122" s="5">
        <v>0.43914266658750351</v>
      </c>
      <c r="F122" s="5">
        <v>0.38016679961514327</v>
      </c>
      <c r="G122" s="5">
        <v>3.7476902810601747</v>
      </c>
      <c r="H122" s="5">
        <v>0.38405383474669208</v>
      </c>
      <c r="I122" s="5">
        <v>2.3062064863170995</v>
      </c>
      <c r="J122" s="5">
        <v>2.0212606488145592</v>
      </c>
      <c r="K122" s="5">
        <v>19.668733420031291</v>
      </c>
      <c r="L122" s="13">
        <v>29.016989866782612</v>
      </c>
      <c r="M122" s="10" t="s">
        <v>41</v>
      </c>
      <c r="N122" s="10">
        <v>1</v>
      </c>
      <c r="O122" s="10">
        <v>2</v>
      </c>
      <c r="P122" s="10" t="s">
        <v>41</v>
      </c>
      <c r="Q122" s="10">
        <v>1</v>
      </c>
      <c r="R122" s="10">
        <v>2</v>
      </c>
      <c r="S122" s="10" t="s">
        <v>11</v>
      </c>
      <c r="T122" s="10" t="s">
        <v>42</v>
      </c>
      <c r="U122" s="10" t="s">
        <v>43</v>
      </c>
      <c r="W122" s="1" t="s">
        <v>20</v>
      </c>
      <c r="X122" s="5">
        <v>29.016989866782612</v>
      </c>
      <c r="Y122" s="5">
        <v>19.668733420031291</v>
      </c>
      <c r="Z122" s="5">
        <v>9.3482564467513214</v>
      </c>
      <c r="AA122" s="8">
        <v>5.5792889486419419E-3</v>
      </c>
      <c r="AB122" s="8">
        <v>4.543838325582391E-2</v>
      </c>
      <c r="AC122" s="7"/>
    </row>
    <row r="123" spans="1:29" x14ac:dyDescent="0.25">
      <c r="A123" s="7"/>
      <c r="D123" s="13">
        <v>11.617269887622376</v>
      </c>
      <c r="E123" s="13">
        <v>3.6536291032243344</v>
      </c>
      <c r="F123" s="13">
        <v>3.5635340437393288</v>
      </c>
      <c r="G123" s="13">
        <v>21.855555132410004</v>
      </c>
      <c r="H123" s="13">
        <v>19.220028466388531</v>
      </c>
      <c r="I123" s="13">
        <v>5.2130659604571576</v>
      </c>
      <c r="J123" s="13">
        <v>5.8599276505167692</v>
      </c>
      <c r="K123" s="13">
        <v>29.016989866782609</v>
      </c>
      <c r="L123" s="1">
        <v>100.00000011114111</v>
      </c>
      <c r="M123" s="10">
        <v>1</v>
      </c>
      <c r="N123" s="5">
        <v>32.074207969679094</v>
      </c>
      <c r="O123" s="5">
        <v>8.1865520785879102</v>
      </c>
      <c r="P123" s="10">
        <v>1</v>
      </c>
      <c r="Q123">
        <v>1.7169006227991994E-4</v>
      </c>
      <c r="R123">
        <v>4.2510788047747617E-3</v>
      </c>
      <c r="S123" s="12">
        <v>1.2555081555559055E-2</v>
      </c>
      <c r="T123">
        <v>8.921581019567501E-2</v>
      </c>
      <c r="U123">
        <v>0.91078418980432496</v>
      </c>
      <c r="W123" s="1" t="s">
        <v>59</v>
      </c>
      <c r="X123" s="7">
        <v>100.00000011114111</v>
      </c>
      <c r="Y123" s="7">
        <v>55.600606181472216</v>
      </c>
      <c r="Z123" s="7">
        <v>44.399393929668904</v>
      </c>
      <c r="AA123" s="7">
        <v>0.89887451067112933</v>
      </c>
      <c r="AB123" s="7">
        <v>0.76010187950896979</v>
      </c>
      <c r="AC123" s="11">
        <v>1.6589763901800991</v>
      </c>
    </row>
    <row r="124" spans="1:29" x14ac:dyDescent="0.25">
      <c r="A124" s="7"/>
      <c r="M124" s="10">
        <v>2</v>
      </c>
      <c r="N124" s="5">
        <v>8.186552078587912</v>
      </c>
      <c r="O124" s="5">
        <v>51.552687984286194</v>
      </c>
      <c r="P124" s="10">
        <v>2</v>
      </c>
      <c r="Q124">
        <v>4.2510788047748415E-3</v>
      </c>
      <c r="R124">
        <v>3.8812338837295305E-3</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-1.844637653833138E-2</v>
      </c>
      <c r="E127" s="8">
        <v>0.33923240264131127</v>
      </c>
      <c r="F127" s="8">
        <v>0.1812182382079533</v>
      </c>
      <c r="G127" s="8">
        <v>0</v>
      </c>
      <c r="H127" s="8">
        <v>-0.22769925539709665</v>
      </c>
      <c r="I127" s="8">
        <v>0</v>
      </c>
      <c r="J127" s="8">
        <v>0</v>
      </c>
      <c r="K127" s="8">
        <v>0</v>
      </c>
      <c r="L127" s="14">
        <v>0.27430500891383658</v>
      </c>
      <c r="AC127" s="7"/>
    </row>
    <row r="128" spans="1:29" x14ac:dyDescent="0.25">
      <c r="A128" s="7"/>
      <c r="C128" s="1" t="s">
        <v>14</v>
      </c>
      <c r="D128" s="8">
        <v>0.3392324026413111</v>
      </c>
      <c r="E128" s="8">
        <v>0</v>
      </c>
      <c r="F128" s="8">
        <v>0</v>
      </c>
      <c r="G128" s="8">
        <v>0.40469884242031717</v>
      </c>
      <c r="H128" s="8">
        <v>0</v>
      </c>
      <c r="I128" s="8">
        <v>0</v>
      </c>
      <c r="J128" s="8">
        <v>0</v>
      </c>
      <c r="K128" s="8">
        <v>0.82293093786466232</v>
      </c>
      <c r="L128" s="14">
        <v>1.5668621829262905</v>
      </c>
      <c r="AC128" s="7"/>
    </row>
    <row r="129" spans="1:29" x14ac:dyDescent="0.25">
      <c r="A129" s="7"/>
      <c r="C129" s="1" t="s">
        <v>15</v>
      </c>
      <c r="D129" s="8">
        <v>0.1812182382079533</v>
      </c>
      <c r="E129" s="8">
        <v>0</v>
      </c>
      <c r="F129" s="8">
        <v>0</v>
      </c>
      <c r="G129" s="8">
        <v>0.72847100811570753</v>
      </c>
      <c r="H129" s="8">
        <v>0</v>
      </c>
      <c r="I129" s="8">
        <v>0</v>
      </c>
      <c r="J129" s="8">
        <v>0</v>
      </c>
      <c r="K129" s="8">
        <v>0.96714517621483498</v>
      </c>
      <c r="L129" s="14">
        <v>1.8768344225384959</v>
      </c>
      <c r="AC129" s="7"/>
    </row>
    <row r="130" spans="1:29" x14ac:dyDescent="0.25">
      <c r="A130" s="7"/>
      <c r="C130" s="1" t="s">
        <v>16</v>
      </c>
      <c r="D130" s="8">
        <v>0</v>
      </c>
      <c r="E130" s="8">
        <v>0.40469884242031717</v>
      </c>
      <c r="F130" s="8">
        <v>-0.32891167650209152</v>
      </c>
      <c r="G130" s="8">
        <v>4.5918944345208136E-2</v>
      </c>
      <c r="H130" s="8">
        <v>0</v>
      </c>
      <c r="I130" s="8">
        <v>0</v>
      </c>
      <c r="J130" s="8">
        <v>0.96714517621483509</v>
      </c>
      <c r="K130" s="8">
        <v>-0.66758230951149877</v>
      </c>
      <c r="L130" s="14">
        <v>0.42126897696677013</v>
      </c>
      <c r="AC130" s="7"/>
    </row>
    <row r="131" spans="1:29" x14ac:dyDescent="0.25">
      <c r="A131" s="7"/>
      <c r="C131" s="1" t="s">
        <v>17</v>
      </c>
      <c r="D131" s="8">
        <v>-0.22769925539709665</v>
      </c>
      <c r="E131" s="8">
        <v>0</v>
      </c>
      <c r="F131" s="8">
        <v>0</v>
      </c>
      <c r="G131" s="8">
        <v>0</v>
      </c>
      <c r="H131" s="8">
        <v>-8.8152250732647111E-2</v>
      </c>
      <c r="I131" s="8">
        <v>0.83115170370160973</v>
      </c>
      <c r="J131" s="8">
        <v>0.42519515062232122</v>
      </c>
      <c r="K131" s="8">
        <v>0.95697254156791844</v>
      </c>
      <c r="L131" s="14">
        <v>1.8974678897621056</v>
      </c>
      <c r="AC131" s="7"/>
    </row>
    <row r="132" spans="1:29" x14ac:dyDescent="0.25">
      <c r="A132" s="7"/>
      <c r="C132" s="1" t="s">
        <v>18</v>
      </c>
      <c r="D132" s="8">
        <v>0</v>
      </c>
      <c r="E132" s="8">
        <v>0</v>
      </c>
      <c r="F132" s="8">
        <v>0</v>
      </c>
      <c r="G132" s="8">
        <v>0</v>
      </c>
      <c r="H132" s="8">
        <v>0.83115170370160973</v>
      </c>
      <c r="I132" s="8">
        <v>0</v>
      </c>
      <c r="J132" s="8">
        <v>0</v>
      </c>
      <c r="K132" s="8">
        <v>0.78902498328296988</v>
      </c>
      <c r="L132" s="14">
        <v>1.6201766869845797</v>
      </c>
      <c r="AC132" s="7"/>
    </row>
    <row r="133" spans="1:29" x14ac:dyDescent="0.25">
      <c r="A133" s="7"/>
      <c r="C133" s="1" t="s">
        <v>19</v>
      </c>
      <c r="D133" s="8">
        <v>0</v>
      </c>
      <c r="E133" s="8">
        <v>0</v>
      </c>
      <c r="F133" s="8">
        <v>1.9967754030102782</v>
      </c>
      <c r="G133" s="8">
        <v>0</v>
      </c>
      <c r="H133" s="8">
        <v>0.42519515062232122</v>
      </c>
      <c r="I133" s="8">
        <v>0</v>
      </c>
      <c r="J133" s="8">
        <v>2.1472084583295015E-2</v>
      </c>
      <c r="K133" s="8">
        <v>-0.70372140032551034</v>
      </c>
      <c r="L133" s="14">
        <v>1.7397212378903841</v>
      </c>
      <c r="AC133" s="7"/>
    </row>
    <row r="134" spans="1:29" x14ac:dyDescent="0.25">
      <c r="A134" s="7"/>
      <c r="C134" s="1" t="s">
        <v>20</v>
      </c>
      <c r="D134" s="8">
        <v>0</v>
      </c>
      <c r="E134" s="8">
        <v>0.82293093786466232</v>
      </c>
      <c r="F134" s="8">
        <v>0.96714517621483509</v>
      </c>
      <c r="G134" s="8">
        <v>0.26061854379179095</v>
      </c>
      <c r="H134" s="8">
        <v>0</v>
      </c>
      <c r="I134" s="8">
        <v>-0.28491356069434864</v>
      </c>
      <c r="J134" s="8">
        <v>-2.1148439531129593E-2</v>
      </c>
      <c r="K134" s="8">
        <v>0.3340406936745241</v>
      </c>
      <c r="L134" s="14">
        <v>2.0786733513203339</v>
      </c>
      <c r="AC134" s="7"/>
    </row>
    <row r="135" spans="1:29" x14ac:dyDescent="0.25">
      <c r="A135" s="7"/>
      <c r="D135" s="14">
        <v>0.27430500891383636</v>
      </c>
      <c r="E135" s="14">
        <v>1.5668621829262908</v>
      </c>
      <c r="F135" s="14">
        <v>2.8162271409309749</v>
      </c>
      <c r="G135" s="14">
        <v>1.4397073386730239</v>
      </c>
      <c r="H135" s="14">
        <v>0.94049534819418712</v>
      </c>
      <c r="I135" s="14">
        <v>0.54623814300726115</v>
      </c>
      <c r="J135" s="14">
        <v>1.3926639718893217</v>
      </c>
      <c r="K135" s="14">
        <v>2.498810622767901</v>
      </c>
      <c r="L135" s="2">
        <v>22.950619514605592</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4.8609857757654409E-5</v>
      </c>
      <c r="E140" s="8">
        <v>0.11618645582525139</v>
      </c>
      <c r="F140" s="8">
        <v>3.2930020703615052E-2</v>
      </c>
      <c r="G140" s="8">
        <v>0.24158931313938181</v>
      </c>
      <c r="H140" s="8">
        <v>2.5951488662581491E-2</v>
      </c>
      <c r="I140" s="8">
        <v>0.22651816908966341</v>
      </c>
      <c r="J140" s="8">
        <v>0.27321859959620998</v>
      </c>
      <c r="K140" s="8">
        <v>6.9735729610149094E-2</v>
      </c>
      <c r="L140" s="15">
        <v>0.98617838648460987</v>
      </c>
      <c r="AC140" s="7"/>
    </row>
    <row r="141" spans="1:29" x14ac:dyDescent="0.25">
      <c r="A141" s="7"/>
      <c r="C141" s="1" t="s">
        <v>14</v>
      </c>
      <c r="D141" s="8">
        <v>0.11618645582525129</v>
      </c>
      <c r="E141" s="8">
        <v>0.25795647925728221</v>
      </c>
      <c r="F141" s="8">
        <v>0.24158931313938181</v>
      </c>
      <c r="G141" s="8">
        <v>8.2170377609292675E-2</v>
      </c>
      <c r="H141" s="8">
        <v>0.22651816908966343</v>
      </c>
      <c r="I141" s="8">
        <v>7.2750924975632333E-2</v>
      </c>
      <c r="J141" s="8">
        <v>6.9735729610149094E-2</v>
      </c>
      <c r="K141" s="8">
        <v>0.716306959847403</v>
      </c>
      <c r="L141" s="15">
        <v>1.7832144093540558</v>
      </c>
      <c r="AC141" s="7"/>
    </row>
    <row r="142" spans="1:29" x14ac:dyDescent="0.25">
      <c r="A142" s="7"/>
      <c r="C142" s="1" t="s">
        <v>15</v>
      </c>
      <c r="D142" s="8">
        <v>3.2930020703615052E-2</v>
      </c>
      <c r="E142" s="8">
        <v>0.24158931313938181</v>
      </c>
      <c r="F142" s="8">
        <v>0.23934281090920423</v>
      </c>
      <c r="G142" s="8">
        <v>0.26828145240120443</v>
      </c>
      <c r="H142" s="8">
        <v>0.27321859959620998</v>
      </c>
      <c r="I142" s="8">
        <v>6.9735729610149094E-2</v>
      </c>
      <c r="J142" s="8">
        <v>0.13577238935031652</v>
      </c>
      <c r="K142" s="8">
        <v>1.0105911318091603</v>
      </c>
      <c r="L142" s="15">
        <v>2.2714614475192416</v>
      </c>
      <c r="AC142" s="7"/>
    </row>
    <row r="143" spans="1:29" x14ac:dyDescent="0.25">
      <c r="A143" s="7"/>
      <c r="C143" s="1" t="s">
        <v>16</v>
      </c>
      <c r="D143" s="8">
        <v>0.24158931313938181</v>
      </c>
      <c r="E143" s="8">
        <v>8.2170377609292675E-2</v>
      </c>
      <c r="F143" s="8">
        <v>0.10916170957333042</v>
      </c>
      <c r="G143" s="8">
        <v>1.5061081000550345E-4</v>
      </c>
      <c r="H143" s="8">
        <v>6.9735729610149094E-2</v>
      </c>
      <c r="I143" s="8">
        <v>0.43914266658750345</v>
      </c>
      <c r="J143" s="8">
        <v>1.0105911318091607</v>
      </c>
      <c r="K143" s="8">
        <v>0.14916941221559435</v>
      </c>
      <c r="L143" s="15">
        <v>2.1017109513544181</v>
      </c>
      <c r="AC143" s="7"/>
    </row>
    <row r="144" spans="1:29" x14ac:dyDescent="0.25">
      <c r="A144" s="7"/>
      <c r="C144" s="1" t="s">
        <v>17</v>
      </c>
      <c r="D144" s="8">
        <v>2.5951488662581491E-2</v>
      </c>
      <c r="E144" s="8">
        <v>0.22651816908966341</v>
      </c>
      <c r="F144" s="8">
        <v>0.27321859959620998</v>
      </c>
      <c r="G144" s="8">
        <v>6.9735729610149108E-2</v>
      </c>
      <c r="H144" s="8">
        <v>5.977576219407839E-4</v>
      </c>
      <c r="I144" s="8">
        <v>0.35040635403631576</v>
      </c>
      <c r="J144" s="8">
        <v>9.0736443874853551E-2</v>
      </c>
      <c r="K144" s="8">
        <v>0.98785546234810329</v>
      </c>
      <c r="L144" s="15">
        <v>2.025020004839817</v>
      </c>
      <c r="AC144" s="7"/>
    </row>
    <row r="145" spans="1:29" x14ac:dyDescent="0.25">
      <c r="A145" s="7"/>
      <c r="C145" s="1" t="s">
        <v>18</v>
      </c>
      <c r="D145" s="8">
        <v>0.22651816908966343</v>
      </c>
      <c r="E145" s="8">
        <v>7.2750924975632333E-2</v>
      </c>
      <c r="F145" s="8">
        <v>6.9735729610149094E-2</v>
      </c>
      <c r="G145" s="8">
        <v>0.43914266658750351</v>
      </c>
      <c r="H145" s="8">
        <v>0.35040635403631576</v>
      </c>
      <c r="I145" s="8">
        <v>0.39473788513571539</v>
      </c>
      <c r="J145" s="8">
        <v>0.38405383474669202</v>
      </c>
      <c r="K145" s="8">
        <v>0.20871914222960883</v>
      </c>
      <c r="L145" s="15">
        <v>2.1460647064112806</v>
      </c>
      <c r="AC145" s="7"/>
    </row>
    <row r="146" spans="1:29" x14ac:dyDescent="0.25">
      <c r="A146" s="7"/>
      <c r="C146" s="1" t="s">
        <v>19</v>
      </c>
      <c r="D146" s="8">
        <v>0.27321859959620998</v>
      </c>
      <c r="E146" s="8">
        <v>6.9735729610149094E-2</v>
      </c>
      <c r="F146" s="8">
        <v>5.5010401347666917</v>
      </c>
      <c r="G146" s="8">
        <v>0.38016679961514338</v>
      </c>
      <c r="H146" s="8">
        <v>9.0736443874853551E-2</v>
      </c>
      <c r="I146" s="8">
        <v>0.38405383474669208</v>
      </c>
      <c r="J146" s="8">
        <v>4.610681305816112E-4</v>
      </c>
      <c r="K146" s="8">
        <v>0.51600139419368019</v>
      </c>
      <c r="L146" s="15">
        <v>7.2154140045340016</v>
      </c>
      <c r="AC146" s="7"/>
    </row>
    <row r="147" spans="1:29" x14ac:dyDescent="0.25">
      <c r="A147" s="7"/>
      <c r="C147" s="1" t="s">
        <v>20</v>
      </c>
      <c r="D147" s="8">
        <v>6.9735729610149094E-2</v>
      </c>
      <c r="E147" s="8">
        <v>0.71630695984740267</v>
      </c>
      <c r="F147" s="8">
        <v>1.0105911318091607</v>
      </c>
      <c r="G147" s="8">
        <v>1.6986514225365762E-2</v>
      </c>
      <c r="H147" s="8">
        <v>0.38405383474669208</v>
      </c>
      <c r="I147" s="8">
        <v>4.0656555611548066E-2</v>
      </c>
      <c r="J147" s="8">
        <v>2.2363033104172883E-4</v>
      </c>
      <c r="K147" s="8">
        <v>5.5792889486419419E-3</v>
      </c>
      <c r="L147" s="15">
        <v>2.244133645130002</v>
      </c>
      <c r="N147">
        <v>2.0292354311937318E-5</v>
      </c>
      <c r="AC147" s="7"/>
    </row>
    <row r="148" spans="1:29" x14ac:dyDescent="0.25">
      <c r="A148" s="7"/>
      <c r="B148" s="7"/>
      <c r="C148" s="7"/>
      <c r="D148" s="15">
        <v>0.98617838648460976</v>
      </c>
      <c r="E148" s="15">
        <v>1.7832144093540556</v>
      </c>
      <c r="F148" s="15">
        <v>7.4776094501077432</v>
      </c>
      <c r="G148" s="15">
        <v>1.4982234639980463</v>
      </c>
      <c r="H148" s="15">
        <v>1.4212183772384059</v>
      </c>
      <c r="I148" s="15">
        <v>1.9780021197932194</v>
      </c>
      <c r="J148" s="15">
        <v>1.964792827449005</v>
      </c>
      <c r="K148" s="15">
        <v>3.6639585212023409</v>
      </c>
      <c r="L148" s="16">
        <v>20.773197555627426</v>
      </c>
      <c r="M148" t="s">
        <v>11</v>
      </c>
      <c r="N148" s="7">
        <v>0.99997970764568811</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topLeftCell="I1" workbookViewId="0">
      <selection activeCell="N18" sqref="N18"/>
    </sheetView>
  </sheetViews>
  <sheetFormatPr defaultRowHeight="15" x14ac:dyDescent="0.25"/>
  <sheetData>
    <row r="1" spans="1:29" x14ac:dyDescent="0.25">
      <c r="A1" s="17" t="s">
        <v>0</v>
      </c>
      <c r="B1" s="17" t="s">
        <v>1</v>
      </c>
      <c r="C1" s="17" t="s">
        <v>2</v>
      </c>
      <c r="D1" s="17" t="s">
        <v>3</v>
      </c>
      <c r="E1" s="17" t="s">
        <v>4</v>
      </c>
      <c r="F1" s="17" t="s">
        <v>5</v>
      </c>
      <c r="G1" s="17" t="s">
        <v>6</v>
      </c>
      <c r="H1" s="17" t="s">
        <v>7</v>
      </c>
      <c r="I1" s="17" t="s">
        <v>8</v>
      </c>
      <c r="J1" s="17" t="s">
        <v>9</v>
      </c>
      <c r="K1" s="17" t="s">
        <v>10</v>
      </c>
      <c r="L1" s="7"/>
      <c r="M1" s="7"/>
      <c r="N1" s="7"/>
      <c r="O1" s="7"/>
      <c r="P1" s="7"/>
      <c r="Q1" s="7"/>
      <c r="R1" s="7"/>
      <c r="S1" s="7"/>
      <c r="T1" s="7"/>
      <c r="U1" s="7"/>
      <c r="V1" s="7"/>
      <c r="W1" s="7"/>
      <c r="X1" s="7"/>
      <c r="Y1" s="7"/>
      <c r="Z1" s="7"/>
      <c r="AA1" s="7"/>
      <c r="AB1" s="7"/>
      <c r="AC1" s="7"/>
    </row>
    <row r="2" spans="1:29" x14ac:dyDescent="0.25">
      <c r="A2" s="19">
        <v>0.5</v>
      </c>
      <c r="B2" s="19">
        <v>0.25030199954135368</v>
      </c>
      <c r="C2" s="19">
        <v>0.38622095682104574</v>
      </c>
      <c r="D2" s="19">
        <v>0</v>
      </c>
      <c r="E2" s="19">
        <v>0</v>
      </c>
      <c r="F2" s="19">
        <v>0</v>
      </c>
      <c r="G2" s="19">
        <v>0.65331535041047073</v>
      </c>
      <c r="H2" s="19">
        <v>0</v>
      </c>
      <c r="I2" s="19">
        <v>0.30732290668845957</v>
      </c>
      <c r="J2" s="19">
        <v>3.9362225034394703E-2</v>
      </c>
      <c r="K2" s="19">
        <v>0</v>
      </c>
      <c r="L2" s="1">
        <v>1.000000482133325</v>
      </c>
      <c r="N2" t="s">
        <v>36</v>
      </c>
      <c r="O2" s="4">
        <v>0.6</v>
      </c>
      <c r="P2" s="4">
        <v>0.6</v>
      </c>
      <c r="AC2" s="7"/>
    </row>
    <row r="3" spans="1:29" x14ac:dyDescent="0.25">
      <c r="A3" t="s">
        <v>79</v>
      </c>
      <c r="B3" s="21">
        <v>5.6514880769061904</v>
      </c>
      <c r="C3" s="18" t="s">
        <v>12</v>
      </c>
      <c r="D3" s="1" t="s">
        <v>13</v>
      </c>
      <c r="E3" s="1" t="s">
        <v>14</v>
      </c>
      <c r="F3" s="1" t="s">
        <v>15</v>
      </c>
      <c r="G3" s="1" t="s">
        <v>16</v>
      </c>
      <c r="H3" s="1" t="s">
        <v>17</v>
      </c>
      <c r="I3" s="1" t="s">
        <v>18</v>
      </c>
      <c r="J3" s="1" t="s">
        <v>19</v>
      </c>
      <c r="K3" s="1" t="s">
        <v>20</v>
      </c>
      <c r="L3" s="1"/>
      <c r="N3" t="s">
        <v>37</v>
      </c>
      <c r="O3" s="4">
        <v>0.6</v>
      </c>
      <c r="P3" s="4">
        <v>0.6</v>
      </c>
      <c r="Q3" t="s">
        <v>55</v>
      </c>
      <c r="Y3" s="1" t="s">
        <v>12</v>
      </c>
      <c r="Z3" t="s">
        <v>47</v>
      </c>
      <c r="AA3" t="s">
        <v>48</v>
      </c>
      <c r="AB3" t="s">
        <v>49</v>
      </c>
      <c r="AC3" s="7"/>
    </row>
    <row r="4" spans="1:29" x14ac:dyDescent="0.25">
      <c r="A4" t="s">
        <v>21</v>
      </c>
      <c r="B4">
        <v>0.99999999999997868</v>
      </c>
      <c r="C4" s="1" t="s">
        <v>13</v>
      </c>
      <c r="D4" s="10">
        <v>0</v>
      </c>
      <c r="E4">
        <v>1</v>
      </c>
      <c r="F4">
        <v>0</v>
      </c>
      <c r="G4">
        <v>1</v>
      </c>
      <c r="H4">
        <v>1</v>
      </c>
      <c r="I4">
        <v>1</v>
      </c>
      <c r="J4">
        <v>1</v>
      </c>
      <c r="K4">
        <v>1</v>
      </c>
      <c r="L4" s="1">
        <v>6</v>
      </c>
      <c r="N4" t="s">
        <v>38</v>
      </c>
      <c r="O4" s="4">
        <v>0.6</v>
      </c>
      <c r="P4" s="4">
        <v>0.59</v>
      </c>
      <c r="Q4" t="s">
        <v>56</v>
      </c>
      <c r="T4" t="s">
        <v>44</v>
      </c>
      <c r="V4" t="s">
        <v>57</v>
      </c>
      <c r="Y4" s="1" t="s">
        <v>13</v>
      </c>
      <c r="Z4">
        <v>6</v>
      </c>
      <c r="AA4">
        <v>0</v>
      </c>
      <c r="AB4">
        <v>6</v>
      </c>
      <c r="AC4" s="7"/>
    </row>
    <row r="5" spans="1:29" x14ac:dyDescent="0.25">
      <c r="C5" s="1" t="s">
        <v>14</v>
      </c>
      <c r="D5">
        <v>1</v>
      </c>
      <c r="E5" s="10">
        <v>1</v>
      </c>
      <c r="F5">
        <v>1</v>
      </c>
      <c r="G5">
        <v>1</v>
      </c>
      <c r="H5">
        <v>1</v>
      </c>
      <c r="I5">
        <v>1</v>
      </c>
      <c r="J5">
        <v>2</v>
      </c>
      <c r="K5">
        <v>2</v>
      </c>
      <c r="L5" s="1">
        <v>10</v>
      </c>
      <c r="M5" s="10" t="s">
        <v>39</v>
      </c>
      <c r="N5" s="10">
        <v>1</v>
      </c>
      <c r="O5" s="10">
        <v>2</v>
      </c>
      <c r="P5" s="10" t="s">
        <v>39</v>
      </c>
      <c r="Q5" s="10">
        <v>1</v>
      </c>
      <c r="R5" s="10">
        <v>2</v>
      </c>
      <c r="S5" s="10" t="s">
        <v>39</v>
      </c>
      <c r="T5" s="10">
        <v>1</v>
      </c>
      <c r="U5" s="10">
        <v>2</v>
      </c>
      <c r="V5" s="10" t="s">
        <v>11</v>
      </c>
      <c r="W5" t="s">
        <v>42</v>
      </c>
      <c r="X5" t="s">
        <v>43</v>
      </c>
      <c r="Y5" s="1" t="s">
        <v>14</v>
      </c>
      <c r="Z5">
        <v>10</v>
      </c>
      <c r="AA5">
        <v>1</v>
      </c>
      <c r="AB5">
        <v>9</v>
      </c>
      <c r="AC5" s="7"/>
    </row>
    <row r="6" spans="1:29" x14ac:dyDescent="0.25">
      <c r="A6" t="s">
        <v>22</v>
      </c>
      <c r="B6" s="20">
        <v>0.5</v>
      </c>
      <c r="C6" s="1" t="s">
        <v>15</v>
      </c>
      <c r="D6">
        <v>0</v>
      </c>
      <c r="E6">
        <v>1</v>
      </c>
      <c r="F6" s="10">
        <v>1</v>
      </c>
      <c r="G6">
        <v>2</v>
      </c>
      <c r="H6">
        <v>1</v>
      </c>
      <c r="I6">
        <v>1</v>
      </c>
      <c r="J6">
        <v>2</v>
      </c>
      <c r="K6">
        <v>2</v>
      </c>
      <c r="L6" s="1">
        <v>10</v>
      </c>
      <c r="M6" s="10">
        <v>1</v>
      </c>
      <c r="N6">
        <v>16</v>
      </c>
      <c r="O6">
        <v>24</v>
      </c>
      <c r="P6" s="10">
        <v>1</v>
      </c>
      <c r="Q6">
        <v>16</v>
      </c>
      <c r="R6">
        <v>24</v>
      </c>
      <c r="S6" s="10">
        <v>1</v>
      </c>
      <c r="T6">
        <v>0</v>
      </c>
      <c r="U6">
        <v>0</v>
      </c>
      <c r="V6" s="12">
        <v>0</v>
      </c>
      <c r="W6">
        <v>0</v>
      </c>
      <c r="X6" s="12">
        <v>1</v>
      </c>
      <c r="Y6" s="1" t="s">
        <v>15</v>
      </c>
      <c r="Z6">
        <v>10</v>
      </c>
      <c r="AA6">
        <v>1</v>
      </c>
      <c r="AB6">
        <v>9</v>
      </c>
      <c r="AC6" s="7"/>
    </row>
    <row r="7" spans="1:29" x14ac:dyDescent="0.25">
      <c r="A7" t="s">
        <v>23</v>
      </c>
      <c r="B7" s="20">
        <v>0.25030199954135368</v>
      </c>
      <c r="C7" s="1" t="s">
        <v>16</v>
      </c>
      <c r="D7">
        <v>1</v>
      </c>
      <c r="E7">
        <v>1</v>
      </c>
      <c r="F7">
        <v>2</v>
      </c>
      <c r="G7" s="10">
        <v>2</v>
      </c>
      <c r="H7">
        <v>1</v>
      </c>
      <c r="I7">
        <v>2</v>
      </c>
      <c r="J7">
        <v>2</v>
      </c>
      <c r="K7">
        <v>3</v>
      </c>
      <c r="L7" s="1">
        <v>14</v>
      </c>
      <c r="M7" s="10">
        <v>2</v>
      </c>
      <c r="N7">
        <v>24</v>
      </c>
      <c r="O7">
        <v>36</v>
      </c>
      <c r="P7" s="10">
        <v>2</v>
      </c>
      <c r="Q7">
        <v>24</v>
      </c>
      <c r="R7">
        <v>36</v>
      </c>
      <c r="S7" s="10">
        <v>2</v>
      </c>
      <c r="T7">
        <v>0</v>
      </c>
      <c r="U7">
        <v>0</v>
      </c>
      <c r="Y7" s="1" t="s">
        <v>16</v>
      </c>
      <c r="Z7">
        <v>14</v>
      </c>
      <c r="AA7">
        <v>2</v>
      </c>
      <c r="AB7">
        <v>12</v>
      </c>
      <c r="AC7" s="7"/>
    </row>
    <row r="8" spans="1:29" x14ac:dyDescent="0.25">
      <c r="A8" t="s">
        <v>24</v>
      </c>
      <c r="B8" s="20">
        <v>0.38622095682104574</v>
      </c>
      <c r="C8" s="1" t="s">
        <v>17</v>
      </c>
      <c r="D8">
        <v>1</v>
      </c>
      <c r="E8">
        <v>1</v>
      </c>
      <c r="F8">
        <v>1</v>
      </c>
      <c r="G8">
        <v>1</v>
      </c>
      <c r="H8" s="10">
        <v>1</v>
      </c>
      <c r="I8">
        <v>1</v>
      </c>
      <c r="J8">
        <v>1</v>
      </c>
      <c r="K8">
        <v>3</v>
      </c>
      <c r="L8" s="1">
        <v>10</v>
      </c>
      <c r="M8" s="10" t="s">
        <v>40</v>
      </c>
      <c r="N8">
        <v>1</v>
      </c>
      <c r="O8">
        <v>2</v>
      </c>
      <c r="P8" s="10" t="s">
        <v>40</v>
      </c>
      <c r="S8" s="10" t="s">
        <v>40</v>
      </c>
      <c r="Y8" s="1" t="s">
        <v>17</v>
      </c>
      <c r="Z8">
        <v>10</v>
      </c>
      <c r="AA8">
        <v>1</v>
      </c>
      <c r="AB8">
        <v>9</v>
      </c>
      <c r="AC8" s="7"/>
    </row>
    <row r="9" spans="1:29" x14ac:dyDescent="0.25">
      <c r="C9" s="1" t="s">
        <v>18</v>
      </c>
      <c r="D9">
        <v>1</v>
      </c>
      <c r="E9">
        <v>1</v>
      </c>
      <c r="F9">
        <v>1</v>
      </c>
      <c r="G9">
        <v>2</v>
      </c>
      <c r="H9">
        <v>1</v>
      </c>
      <c r="I9" s="10">
        <v>3</v>
      </c>
      <c r="J9">
        <v>2</v>
      </c>
      <c r="K9">
        <v>3</v>
      </c>
      <c r="L9" s="1">
        <v>14</v>
      </c>
      <c r="M9" s="10">
        <v>1</v>
      </c>
      <c r="N9">
        <v>17</v>
      </c>
      <c r="O9">
        <v>23</v>
      </c>
      <c r="P9" s="10">
        <v>1</v>
      </c>
      <c r="Q9">
        <v>16</v>
      </c>
      <c r="R9">
        <v>24</v>
      </c>
      <c r="S9" s="10">
        <v>1</v>
      </c>
      <c r="T9">
        <v>6.25E-2</v>
      </c>
      <c r="U9">
        <v>4.1666666666666664E-2</v>
      </c>
      <c r="V9" s="12">
        <v>0.1736111111111111</v>
      </c>
      <c r="W9">
        <v>0.32307776097862073</v>
      </c>
      <c r="X9" s="12">
        <v>0.67692223902137927</v>
      </c>
      <c r="Y9" s="1" t="s">
        <v>18</v>
      </c>
      <c r="Z9">
        <v>14</v>
      </c>
      <c r="AA9">
        <v>3</v>
      </c>
      <c r="AB9">
        <v>11</v>
      </c>
      <c r="AC9" s="7"/>
    </row>
    <row r="10" spans="1:29" x14ac:dyDescent="0.25">
      <c r="A10" s="7"/>
      <c r="C10" s="1" t="s">
        <v>19</v>
      </c>
      <c r="D10">
        <v>1</v>
      </c>
      <c r="E10">
        <v>2</v>
      </c>
      <c r="F10">
        <v>2</v>
      </c>
      <c r="G10">
        <v>2</v>
      </c>
      <c r="H10">
        <v>1</v>
      </c>
      <c r="I10">
        <v>2</v>
      </c>
      <c r="J10" s="10">
        <v>2</v>
      </c>
      <c r="K10">
        <v>2</v>
      </c>
      <c r="L10" s="1">
        <v>14</v>
      </c>
      <c r="M10" s="10">
        <v>2</v>
      </c>
      <c r="N10">
        <v>23</v>
      </c>
      <c r="O10">
        <v>37</v>
      </c>
      <c r="P10" s="10">
        <v>2</v>
      </c>
      <c r="Q10">
        <v>24</v>
      </c>
      <c r="R10">
        <v>36</v>
      </c>
      <c r="S10" s="10">
        <v>2</v>
      </c>
      <c r="T10">
        <v>4.1666666666666664E-2</v>
      </c>
      <c r="U10">
        <v>2.7777777777777776E-2</v>
      </c>
      <c r="Y10" s="1" t="s">
        <v>19</v>
      </c>
      <c r="Z10">
        <v>14</v>
      </c>
      <c r="AA10">
        <v>2</v>
      </c>
      <c r="AB10">
        <v>12</v>
      </c>
      <c r="AC10" s="7"/>
    </row>
    <row r="11" spans="1:29" x14ac:dyDescent="0.25">
      <c r="A11" s="7">
        <v>0</v>
      </c>
      <c r="B11" s="6">
        <v>0</v>
      </c>
      <c r="C11" s="1" t="s">
        <v>20</v>
      </c>
      <c r="D11">
        <v>1</v>
      </c>
      <c r="E11">
        <v>2</v>
      </c>
      <c r="F11">
        <v>2</v>
      </c>
      <c r="G11">
        <v>3</v>
      </c>
      <c r="H11">
        <v>3</v>
      </c>
      <c r="I11">
        <v>3</v>
      </c>
      <c r="J11">
        <v>3</v>
      </c>
      <c r="K11" s="10">
        <v>5</v>
      </c>
      <c r="L11" s="1">
        <v>22</v>
      </c>
      <c r="M11" s="10" t="s">
        <v>41</v>
      </c>
      <c r="N11">
        <v>1</v>
      </c>
      <c r="O11">
        <v>2</v>
      </c>
      <c r="P11" s="10" t="s">
        <v>41</v>
      </c>
      <c r="S11" s="10" t="s">
        <v>41</v>
      </c>
      <c r="Y11" s="1" t="s">
        <v>20</v>
      </c>
      <c r="Z11">
        <v>22</v>
      </c>
      <c r="AA11">
        <v>5</v>
      </c>
      <c r="AB11">
        <v>17</v>
      </c>
      <c r="AC11" s="7"/>
    </row>
    <row r="12" spans="1:29" x14ac:dyDescent="0.25">
      <c r="A12" s="7"/>
      <c r="B12" s="6"/>
      <c r="C12" s="1"/>
      <c r="D12" s="1">
        <v>6</v>
      </c>
      <c r="E12" s="1">
        <v>10</v>
      </c>
      <c r="F12" s="1">
        <v>10</v>
      </c>
      <c r="G12" s="1">
        <v>14</v>
      </c>
      <c r="H12" s="1">
        <v>10</v>
      </c>
      <c r="I12" s="1">
        <v>14</v>
      </c>
      <c r="J12" s="1">
        <v>15</v>
      </c>
      <c r="K12" s="1">
        <v>21</v>
      </c>
      <c r="L12" s="1">
        <v>100</v>
      </c>
      <c r="M12" s="10">
        <v>1</v>
      </c>
      <c r="N12">
        <v>16</v>
      </c>
      <c r="O12">
        <v>24</v>
      </c>
      <c r="P12" s="10">
        <v>1</v>
      </c>
      <c r="Q12">
        <v>16.399999999999999</v>
      </c>
      <c r="R12">
        <v>23.6</v>
      </c>
      <c r="S12" s="10">
        <v>1</v>
      </c>
      <c r="T12">
        <v>9.7560975609755421E-3</v>
      </c>
      <c r="U12">
        <v>6.7796610169491038E-3</v>
      </c>
      <c r="V12" s="12">
        <v>2.7559597629874408E-2</v>
      </c>
      <c r="W12">
        <v>0.13185157729745961</v>
      </c>
      <c r="X12" s="12">
        <v>0.86814842270254045</v>
      </c>
      <c r="Y12" s="1" t="s">
        <v>46</v>
      </c>
      <c r="Z12" s="7">
        <v>100</v>
      </c>
      <c r="AA12" s="7">
        <v>15</v>
      </c>
      <c r="AB12" s="7">
        <v>85</v>
      </c>
      <c r="AC12" s="7"/>
    </row>
    <row r="13" spans="1:29" x14ac:dyDescent="0.25">
      <c r="A13" s="7"/>
      <c r="C13" s="1" t="s">
        <v>25</v>
      </c>
      <c r="D13" s="4">
        <v>0</v>
      </c>
      <c r="E13" s="4">
        <v>0</v>
      </c>
      <c r="F13" s="4">
        <v>0</v>
      </c>
      <c r="G13" s="4">
        <v>0</v>
      </c>
      <c r="H13" s="4">
        <v>0</v>
      </c>
      <c r="I13" s="4">
        <v>0</v>
      </c>
      <c r="J13" s="4">
        <v>0</v>
      </c>
      <c r="K13" s="4">
        <v>0</v>
      </c>
      <c r="M13" s="10">
        <v>2</v>
      </c>
      <c r="N13">
        <v>25</v>
      </c>
      <c r="O13">
        <v>35</v>
      </c>
      <c r="P13" s="10">
        <v>2</v>
      </c>
      <c r="Q13">
        <v>24.6</v>
      </c>
      <c r="R13">
        <v>35.4</v>
      </c>
      <c r="S13" s="10">
        <v>2</v>
      </c>
      <c r="T13">
        <v>6.5040650406503597E-3</v>
      </c>
      <c r="U13">
        <v>4.5197740112994031E-3</v>
      </c>
      <c r="AC13" s="7"/>
    </row>
    <row r="14" spans="1:29" x14ac:dyDescent="0.25">
      <c r="A14" s="7"/>
      <c r="C14" s="1"/>
      <c r="D14" s="1" t="s">
        <v>13</v>
      </c>
      <c r="E14" s="1" t="s">
        <v>14</v>
      </c>
      <c r="F14" s="1" t="s">
        <v>15</v>
      </c>
      <c r="G14" s="1" t="s">
        <v>16</v>
      </c>
      <c r="H14" s="1" t="s">
        <v>17</v>
      </c>
      <c r="I14" s="1" t="s">
        <v>18</v>
      </c>
      <c r="J14" s="1" t="s">
        <v>19</v>
      </c>
      <c r="K14" s="1" t="s">
        <v>20</v>
      </c>
      <c r="L14" s="1"/>
      <c r="V14" s="7"/>
      <c r="W14" s="7"/>
      <c r="X14" s="7"/>
      <c r="Y14" s="7"/>
      <c r="Z14" s="7"/>
      <c r="AA14" s="7"/>
      <c r="AB14" s="7"/>
      <c r="AC14" s="7"/>
    </row>
    <row r="15" spans="1:29" x14ac:dyDescent="0.25">
      <c r="A15" s="7"/>
      <c r="B15" s="4">
        <v>0.23007446069734158</v>
      </c>
      <c r="C15" s="1" t="s">
        <v>13</v>
      </c>
      <c r="D15" s="4">
        <v>0</v>
      </c>
      <c r="E15" s="4">
        <v>0</v>
      </c>
      <c r="F15" s="4">
        <v>0</v>
      </c>
      <c r="G15" s="4">
        <v>0</v>
      </c>
      <c r="H15" s="4">
        <v>0</v>
      </c>
      <c r="I15" s="4">
        <v>0</v>
      </c>
      <c r="J15" s="4">
        <v>0</v>
      </c>
      <c r="K15" s="4">
        <v>0</v>
      </c>
      <c r="AC15" s="7"/>
    </row>
    <row r="16" spans="1:29" x14ac:dyDescent="0.25">
      <c r="A16" s="7"/>
      <c r="B16" s="4">
        <v>0.14477453953198158</v>
      </c>
      <c r="C16" s="1" t="s">
        <v>14</v>
      </c>
      <c r="D16" s="4">
        <v>0</v>
      </c>
      <c r="E16" s="4">
        <v>0</v>
      </c>
      <c r="F16" s="4">
        <v>0</v>
      </c>
      <c r="G16" s="4">
        <v>0</v>
      </c>
      <c r="H16" s="4">
        <v>0</v>
      </c>
      <c r="I16" s="4">
        <v>0</v>
      </c>
      <c r="J16" s="4">
        <v>0</v>
      </c>
      <c r="K16" s="4">
        <v>0</v>
      </c>
      <c r="O16" s="8"/>
      <c r="AC16" s="7"/>
    </row>
    <row r="17" spans="1:29" x14ac:dyDescent="0.25">
      <c r="A17" s="7"/>
      <c r="B17" s="4">
        <v>7.681506089213555E-2</v>
      </c>
      <c r="C17" s="1" t="s">
        <v>15</v>
      </c>
      <c r="D17" s="4">
        <v>0</v>
      </c>
      <c r="E17" s="4">
        <v>0</v>
      </c>
      <c r="F17" s="4">
        <v>0</v>
      </c>
      <c r="G17" s="4">
        <v>0</v>
      </c>
      <c r="H17" s="4">
        <v>0</v>
      </c>
      <c r="I17" s="4">
        <v>0</v>
      </c>
      <c r="J17" s="4">
        <v>0</v>
      </c>
      <c r="K17" s="4">
        <v>0</v>
      </c>
      <c r="AC17" s="7"/>
    </row>
    <row r="18" spans="1:29" x14ac:dyDescent="0.25">
      <c r="A18" s="7"/>
      <c r="B18" s="4">
        <v>4.8335938878541283E-2</v>
      </c>
      <c r="C18" s="1" t="s">
        <v>16</v>
      </c>
      <c r="D18" s="4">
        <v>0</v>
      </c>
      <c r="E18" s="4">
        <v>0</v>
      </c>
      <c r="F18" s="4">
        <v>0</v>
      </c>
      <c r="G18" s="4">
        <v>0</v>
      </c>
      <c r="H18" s="4">
        <v>0</v>
      </c>
      <c r="I18" s="4">
        <v>0</v>
      </c>
      <c r="J18" s="4">
        <v>0</v>
      </c>
      <c r="K18" s="4">
        <v>0</v>
      </c>
      <c r="AC18" s="7"/>
    </row>
    <row r="19" spans="1:29" x14ac:dyDescent="0.25">
      <c r="A19" s="7"/>
      <c r="B19" s="4">
        <v>0.23007446069734158</v>
      </c>
      <c r="C19" s="1" t="s">
        <v>17</v>
      </c>
      <c r="D19" s="4">
        <v>0</v>
      </c>
      <c r="E19" s="4">
        <v>0</v>
      </c>
      <c r="F19" s="4">
        <v>0</v>
      </c>
      <c r="G19" s="4">
        <v>0</v>
      </c>
      <c r="H19" s="4">
        <v>0</v>
      </c>
      <c r="I19" s="4">
        <v>0</v>
      </c>
      <c r="J19" s="4">
        <v>0</v>
      </c>
      <c r="K19" s="4">
        <v>0</v>
      </c>
      <c r="AC19" s="7"/>
    </row>
    <row r="20" spans="1:29" x14ac:dyDescent="0.25">
      <c r="A20" s="7"/>
      <c r="B20" s="4">
        <v>0.14477453953198158</v>
      </c>
      <c r="C20" s="1" t="s">
        <v>18</v>
      </c>
      <c r="D20" s="4">
        <v>0</v>
      </c>
      <c r="E20" s="4">
        <v>0</v>
      </c>
      <c r="F20" s="4">
        <v>0</v>
      </c>
      <c r="G20" s="4">
        <v>0</v>
      </c>
      <c r="H20" s="4">
        <v>0</v>
      </c>
      <c r="I20" s="4">
        <v>0</v>
      </c>
      <c r="J20" s="4">
        <v>0</v>
      </c>
      <c r="K20" s="4">
        <v>0</v>
      </c>
      <c r="AC20" s="7"/>
    </row>
    <row r="21" spans="1:29" x14ac:dyDescent="0.25">
      <c r="A21" s="7"/>
      <c r="B21" s="4">
        <v>7.681506089213555E-2</v>
      </c>
      <c r="C21" s="1" t="s">
        <v>19</v>
      </c>
      <c r="D21" s="4">
        <v>0</v>
      </c>
      <c r="E21" s="4">
        <v>0</v>
      </c>
      <c r="F21" s="4">
        <v>0</v>
      </c>
      <c r="G21" s="4">
        <v>0</v>
      </c>
      <c r="H21" s="4">
        <v>0</v>
      </c>
      <c r="I21" s="4">
        <v>0</v>
      </c>
      <c r="J21" s="4">
        <v>0</v>
      </c>
      <c r="K21" s="4">
        <v>0</v>
      </c>
      <c r="M21" t="s">
        <v>62</v>
      </c>
      <c r="AC21" s="7"/>
    </row>
    <row r="22" spans="1:29" x14ac:dyDescent="0.25">
      <c r="A22" s="7"/>
      <c r="B22" s="4">
        <v>4.8335938878541283E-2</v>
      </c>
      <c r="C22" s="1" t="s">
        <v>20</v>
      </c>
      <c r="D22" s="4">
        <v>0</v>
      </c>
      <c r="E22" s="4">
        <v>0</v>
      </c>
      <c r="F22" s="4">
        <v>0</v>
      </c>
      <c r="G22" s="4">
        <v>0</v>
      </c>
      <c r="H22" s="4">
        <v>0</v>
      </c>
      <c r="I22" s="4">
        <v>0</v>
      </c>
      <c r="J22" s="4">
        <v>0</v>
      </c>
      <c r="K22" s="4">
        <v>0</v>
      </c>
      <c r="AC22" s="7"/>
    </row>
    <row r="23" spans="1:29" x14ac:dyDescent="0.25">
      <c r="A23" s="7"/>
      <c r="AC23" s="7"/>
    </row>
    <row r="24" spans="1:29" x14ac:dyDescent="0.25">
      <c r="A24" s="7"/>
      <c r="C24" s="1" t="s">
        <v>26</v>
      </c>
      <c r="D24" s="4">
        <v>0</v>
      </c>
      <c r="E24" s="4">
        <v>0</v>
      </c>
      <c r="F24" s="4">
        <v>0</v>
      </c>
      <c r="G24" s="4">
        <v>0</v>
      </c>
      <c r="H24" s="4">
        <v>0</v>
      </c>
      <c r="I24" s="4">
        <v>0</v>
      </c>
      <c r="J24" s="4">
        <v>0</v>
      </c>
      <c r="K24" s="4">
        <v>0</v>
      </c>
      <c r="O24">
        <v>6.5600000000000019E-2</v>
      </c>
      <c r="P24">
        <v>9.4400000000000012E-2</v>
      </c>
      <c r="Q24">
        <v>9.8400000000000001E-2</v>
      </c>
      <c r="R24">
        <v>0.14159999999999998</v>
      </c>
      <c r="S24">
        <v>9.8400000000000001E-2</v>
      </c>
      <c r="T24">
        <v>0.14159999999999998</v>
      </c>
      <c r="U24">
        <v>0.14760000000000001</v>
      </c>
      <c r="V24">
        <v>0.21239999999999998</v>
      </c>
      <c r="AC24" s="7"/>
    </row>
    <row r="25" spans="1:29" x14ac:dyDescent="0.25">
      <c r="A25" s="7"/>
      <c r="C25" s="1"/>
      <c r="D25" s="1" t="s">
        <v>13</v>
      </c>
      <c r="E25" s="1" t="s">
        <v>14</v>
      </c>
      <c r="F25" s="1" t="s">
        <v>15</v>
      </c>
      <c r="G25" s="1" t="s">
        <v>16</v>
      </c>
      <c r="H25" s="1" t="s">
        <v>17</v>
      </c>
      <c r="I25" s="1" t="s">
        <v>18</v>
      </c>
      <c r="J25" s="1" t="s">
        <v>19</v>
      </c>
      <c r="K25" s="1" t="s">
        <v>20</v>
      </c>
      <c r="L25" s="1"/>
      <c r="N25" s="7"/>
      <c r="O25" s="1" t="s">
        <v>13</v>
      </c>
      <c r="P25" s="1" t="s">
        <v>14</v>
      </c>
      <c r="Q25" s="1" t="s">
        <v>15</v>
      </c>
      <c r="R25" s="1" t="s">
        <v>16</v>
      </c>
      <c r="S25" s="1" t="s">
        <v>17</v>
      </c>
      <c r="T25" s="1" t="s">
        <v>18</v>
      </c>
      <c r="U25" s="1" t="s">
        <v>19</v>
      </c>
      <c r="V25" s="1" t="s">
        <v>20</v>
      </c>
      <c r="AC25" s="7"/>
    </row>
    <row r="26" spans="1:29" x14ac:dyDescent="0.25">
      <c r="A26" s="7"/>
      <c r="B26" s="4">
        <v>0.14477453953198158</v>
      </c>
      <c r="C26" s="1" t="s">
        <v>13</v>
      </c>
      <c r="D26" s="4">
        <v>0</v>
      </c>
      <c r="E26" s="4">
        <v>0</v>
      </c>
      <c r="F26" s="4">
        <v>0</v>
      </c>
      <c r="G26" s="4">
        <v>0</v>
      </c>
      <c r="H26" s="4">
        <v>0</v>
      </c>
      <c r="I26" s="4">
        <v>0</v>
      </c>
      <c r="J26" s="4">
        <v>0</v>
      </c>
      <c r="K26" s="4">
        <v>0</v>
      </c>
      <c r="M26" s="4">
        <v>6.4000000000000015E-2</v>
      </c>
      <c r="N26" s="1" t="s">
        <v>13</v>
      </c>
      <c r="O26">
        <v>4.1984000000000023E-3</v>
      </c>
      <c r="P26">
        <v>6.041600000000002E-3</v>
      </c>
      <c r="Q26">
        <v>6.2976000000000013E-3</v>
      </c>
      <c r="R26">
        <v>9.0624E-3</v>
      </c>
      <c r="S26">
        <v>6.2976000000000013E-3</v>
      </c>
      <c r="T26">
        <v>9.0624E-3</v>
      </c>
      <c r="U26">
        <v>9.4464000000000024E-3</v>
      </c>
      <c r="V26">
        <v>1.3593600000000003E-2</v>
      </c>
      <c r="AC26" s="7"/>
    </row>
    <row r="27" spans="1:29" x14ac:dyDescent="0.25">
      <c r="A27" s="7"/>
      <c r="B27" s="4">
        <v>0.23007446069734158</v>
      </c>
      <c r="C27" s="1" t="s">
        <v>14</v>
      </c>
      <c r="D27" s="4">
        <v>0</v>
      </c>
      <c r="E27" s="4">
        <v>0</v>
      </c>
      <c r="F27" s="4">
        <v>0</v>
      </c>
      <c r="G27" s="4">
        <v>0</v>
      </c>
      <c r="H27" s="4">
        <v>0</v>
      </c>
      <c r="I27" s="4">
        <v>0</v>
      </c>
      <c r="J27" s="4">
        <v>0</v>
      </c>
      <c r="K27" s="4">
        <v>0</v>
      </c>
      <c r="M27" s="4">
        <v>9.6000000000000016E-2</v>
      </c>
      <c r="N27" s="1" t="s">
        <v>14</v>
      </c>
      <c r="O27">
        <v>6.297600000000003E-3</v>
      </c>
      <c r="P27">
        <v>9.0624000000000034E-3</v>
      </c>
      <c r="Q27">
        <v>9.4464000000000024E-3</v>
      </c>
      <c r="R27">
        <v>1.3593599999999999E-2</v>
      </c>
      <c r="S27">
        <v>9.4464000000000024E-3</v>
      </c>
      <c r="T27">
        <v>1.3593599999999999E-2</v>
      </c>
      <c r="U27">
        <v>1.4169600000000003E-2</v>
      </c>
      <c r="V27">
        <v>2.0390400000000003E-2</v>
      </c>
      <c r="AC27" s="7"/>
    </row>
    <row r="28" spans="1:29" x14ac:dyDescent="0.25">
      <c r="A28" s="7"/>
      <c r="B28" s="4">
        <v>4.8335938878541283E-2</v>
      </c>
      <c r="C28" s="1" t="s">
        <v>15</v>
      </c>
      <c r="D28" s="4">
        <v>0</v>
      </c>
      <c r="E28" s="4">
        <v>0</v>
      </c>
      <c r="F28" s="4">
        <v>0</v>
      </c>
      <c r="G28" s="4">
        <v>0</v>
      </c>
      <c r="H28" s="4">
        <v>0</v>
      </c>
      <c r="I28" s="4">
        <v>0</v>
      </c>
      <c r="J28" s="4">
        <v>0</v>
      </c>
      <c r="K28" s="4">
        <v>0</v>
      </c>
      <c r="M28" s="4">
        <v>9.6000000000000002E-2</v>
      </c>
      <c r="N28" s="1" t="s">
        <v>15</v>
      </c>
      <c r="O28">
        <v>6.2976000000000022E-3</v>
      </c>
      <c r="P28">
        <v>9.0624000000000017E-3</v>
      </c>
      <c r="Q28">
        <v>9.4464000000000006E-3</v>
      </c>
      <c r="R28">
        <v>1.3593599999999997E-2</v>
      </c>
      <c r="S28">
        <v>9.4464000000000006E-3</v>
      </c>
      <c r="T28">
        <v>1.3593599999999997E-2</v>
      </c>
      <c r="U28">
        <v>1.4169600000000001E-2</v>
      </c>
      <c r="V28">
        <v>2.0390399999999999E-2</v>
      </c>
      <c r="AC28" s="7"/>
    </row>
    <row r="29" spans="1:29" x14ac:dyDescent="0.25">
      <c r="A29" s="7"/>
      <c r="B29" s="4">
        <v>7.681506089213555E-2</v>
      </c>
      <c r="C29" s="1" t="s">
        <v>16</v>
      </c>
      <c r="D29" s="4">
        <v>0</v>
      </c>
      <c r="E29" s="4">
        <v>0</v>
      </c>
      <c r="F29" s="4">
        <v>0</v>
      </c>
      <c r="G29" s="4">
        <v>0</v>
      </c>
      <c r="H29" s="4">
        <v>0</v>
      </c>
      <c r="I29" s="4">
        <v>0</v>
      </c>
      <c r="J29" s="4">
        <v>0</v>
      </c>
      <c r="K29" s="4">
        <v>0</v>
      </c>
      <c r="M29" s="4">
        <v>0.14399999999999999</v>
      </c>
      <c r="N29" s="1" t="s">
        <v>16</v>
      </c>
      <c r="O29">
        <v>9.4464000000000024E-3</v>
      </c>
      <c r="P29">
        <v>1.3593600000000001E-2</v>
      </c>
      <c r="Q29">
        <v>1.4169599999999999E-2</v>
      </c>
      <c r="R29">
        <v>2.0390399999999996E-2</v>
      </c>
      <c r="S29">
        <v>1.4169599999999999E-2</v>
      </c>
      <c r="T29">
        <v>2.0390399999999996E-2</v>
      </c>
      <c r="U29">
        <v>2.12544E-2</v>
      </c>
      <c r="V29">
        <v>3.0585599999999994E-2</v>
      </c>
      <c r="AC29" s="7"/>
    </row>
    <row r="30" spans="1:29" x14ac:dyDescent="0.25">
      <c r="A30" s="7"/>
      <c r="B30" s="4">
        <v>0.14477453953198158</v>
      </c>
      <c r="C30" s="1" t="s">
        <v>17</v>
      </c>
      <c r="D30" s="4">
        <v>0</v>
      </c>
      <c r="E30" s="4">
        <v>0</v>
      </c>
      <c r="F30" s="4">
        <v>0</v>
      </c>
      <c r="G30" s="4">
        <v>0</v>
      </c>
      <c r="H30" s="4">
        <v>0</v>
      </c>
      <c r="I30" s="4">
        <v>0</v>
      </c>
      <c r="J30" s="4">
        <v>0</v>
      </c>
      <c r="K30" s="4">
        <v>0</v>
      </c>
      <c r="M30" s="4">
        <v>9.6000000000000002E-2</v>
      </c>
      <c r="N30" s="1" t="s">
        <v>17</v>
      </c>
      <c r="O30">
        <v>6.2976000000000022E-3</v>
      </c>
      <c r="P30">
        <v>9.0624000000000017E-3</v>
      </c>
      <c r="Q30">
        <v>9.4464000000000006E-3</v>
      </c>
      <c r="R30">
        <v>1.3593599999999997E-2</v>
      </c>
      <c r="S30">
        <v>9.4464000000000006E-3</v>
      </c>
      <c r="T30">
        <v>1.3593599999999997E-2</v>
      </c>
      <c r="U30">
        <v>1.4169600000000001E-2</v>
      </c>
      <c r="V30">
        <v>2.0390399999999999E-2</v>
      </c>
      <c r="AC30" s="7"/>
    </row>
    <row r="31" spans="1:29" x14ac:dyDescent="0.25">
      <c r="A31" s="7"/>
      <c r="B31" s="4">
        <v>0.23007446069734158</v>
      </c>
      <c r="C31" s="1" t="s">
        <v>18</v>
      </c>
      <c r="D31" s="4">
        <v>0</v>
      </c>
      <c r="E31" s="4">
        <v>0</v>
      </c>
      <c r="F31" s="4">
        <v>0</v>
      </c>
      <c r="G31" s="4">
        <v>0</v>
      </c>
      <c r="H31" s="4">
        <v>0</v>
      </c>
      <c r="I31" s="4">
        <v>0</v>
      </c>
      <c r="J31" s="4">
        <v>0</v>
      </c>
      <c r="K31" s="4">
        <v>0</v>
      </c>
      <c r="M31" s="4">
        <v>0.14399999999999999</v>
      </c>
      <c r="N31" s="1" t="s">
        <v>18</v>
      </c>
      <c r="O31">
        <v>9.4464000000000024E-3</v>
      </c>
      <c r="P31">
        <v>1.3593600000000001E-2</v>
      </c>
      <c r="Q31">
        <v>1.4169599999999999E-2</v>
      </c>
      <c r="R31">
        <v>2.0390399999999996E-2</v>
      </c>
      <c r="S31">
        <v>1.4169599999999999E-2</v>
      </c>
      <c r="T31">
        <v>2.0390399999999996E-2</v>
      </c>
      <c r="U31">
        <v>2.12544E-2</v>
      </c>
      <c r="V31">
        <v>3.0585599999999994E-2</v>
      </c>
      <c r="AC31" s="7"/>
    </row>
    <row r="32" spans="1:29" x14ac:dyDescent="0.25">
      <c r="A32" s="7"/>
      <c r="B32" s="4">
        <v>4.8335938878541283E-2</v>
      </c>
      <c r="C32" s="1" t="s">
        <v>19</v>
      </c>
      <c r="D32" s="4">
        <v>0</v>
      </c>
      <c r="E32" s="4">
        <v>0</v>
      </c>
      <c r="F32" s="4">
        <v>0</v>
      </c>
      <c r="G32" s="4">
        <v>0</v>
      </c>
      <c r="H32" s="4">
        <v>0</v>
      </c>
      <c r="I32" s="4">
        <v>0</v>
      </c>
      <c r="J32" s="4">
        <v>0</v>
      </c>
      <c r="K32" s="4">
        <v>0</v>
      </c>
      <c r="M32" s="4">
        <v>0.14399999999999999</v>
      </c>
      <c r="N32" s="1" t="s">
        <v>19</v>
      </c>
      <c r="O32">
        <v>9.4464000000000024E-3</v>
      </c>
      <c r="P32">
        <v>1.3593600000000001E-2</v>
      </c>
      <c r="Q32">
        <v>1.4169599999999999E-2</v>
      </c>
      <c r="R32">
        <v>2.0390399999999996E-2</v>
      </c>
      <c r="S32">
        <v>1.4169599999999999E-2</v>
      </c>
      <c r="T32">
        <v>2.0390399999999996E-2</v>
      </c>
      <c r="U32">
        <v>2.12544E-2</v>
      </c>
      <c r="V32">
        <v>3.0585599999999994E-2</v>
      </c>
      <c r="AC32" s="7"/>
    </row>
    <row r="33" spans="1:29" x14ac:dyDescent="0.25">
      <c r="A33" s="7"/>
      <c r="B33" s="4">
        <v>7.681506089213555E-2</v>
      </c>
      <c r="C33" s="1" t="s">
        <v>20</v>
      </c>
      <c r="D33" s="4">
        <v>0</v>
      </c>
      <c r="E33" s="4">
        <v>0</v>
      </c>
      <c r="F33" s="4">
        <v>0</v>
      </c>
      <c r="G33" s="4">
        <v>0</v>
      </c>
      <c r="H33" s="4">
        <v>0</v>
      </c>
      <c r="I33" s="4">
        <v>0</v>
      </c>
      <c r="J33" s="4">
        <v>0</v>
      </c>
      <c r="K33" s="4">
        <v>0</v>
      </c>
      <c r="M33" s="4">
        <v>0.216</v>
      </c>
      <c r="N33" s="1" t="s">
        <v>20</v>
      </c>
      <c r="O33">
        <v>1.4169600000000004E-2</v>
      </c>
      <c r="P33">
        <v>2.0390400000000003E-2</v>
      </c>
      <c r="Q33">
        <v>2.12544E-2</v>
      </c>
      <c r="R33">
        <v>3.0585599999999994E-2</v>
      </c>
      <c r="S33">
        <v>2.12544E-2</v>
      </c>
      <c r="T33">
        <v>3.0585599999999994E-2</v>
      </c>
      <c r="U33">
        <v>3.1881600000000003E-2</v>
      </c>
      <c r="V33">
        <v>4.5878399999999993E-2</v>
      </c>
      <c r="AC33" s="7"/>
    </row>
    <row r="34" spans="1:29" x14ac:dyDescent="0.25">
      <c r="A34" s="7"/>
      <c r="AC34" s="7"/>
    </row>
    <row r="35" spans="1:29" x14ac:dyDescent="0.25">
      <c r="A35" s="7"/>
      <c r="C35" s="1" t="s">
        <v>27</v>
      </c>
      <c r="D35" s="4">
        <v>0</v>
      </c>
      <c r="E35" s="4">
        <v>0</v>
      </c>
      <c r="F35" s="4">
        <v>0</v>
      </c>
      <c r="G35" s="4">
        <v>0</v>
      </c>
      <c r="H35" s="4">
        <v>0</v>
      </c>
      <c r="I35" s="4">
        <v>0</v>
      </c>
      <c r="J35" s="4">
        <v>0</v>
      </c>
      <c r="K35" s="4">
        <v>0</v>
      </c>
      <c r="P35" t="s">
        <v>63</v>
      </c>
      <c r="AA35" t="s">
        <v>44</v>
      </c>
      <c r="AC35" s="7"/>
    </row>
    <row r="36" spans="1:29" x14ac:dyDescent="0.25">
      <c r="A36" s="7"/>
      <c r="C36" s="1"/>
      <c r="D36" s="1" t="s">
        <v>13</v>
      </c>
      <c r="E36" s="1" t="s">
        <v>14</v>
      </c>
      <c r="F36" s="1" t="s">
        <v>15</v>
      </c>
      <c r="G36" s="1" t="s">
        <v>16</v>
      </c>
      <c r="H36" s="1" t="s">
        <v>17</v>
      </c>
      <c r="I36" s="1" t="s">
        <v>18</v>
      </c>
      <c r="J36" s="1" t="s">
        <v>19</v>
      </c>
      <c r="K36" s="1" t="s">
        <v>20</v>
      </c>
      <c r="L36" s="1"/>
      <c r="O36" s="1" t="s">
        <v>13</v>
      </c>
      <c r="P36" s="1" t="s">
        <v>14</v>
      </c>
      <c r="Q36" s="1" t="s">
        <v>15</v>
      </c>
      <c r="R36" s="1" t="s">
        <v>16</v>
      </c>
      <c r="S36" s="1" t="s">
        <v>17</v>
      </c>
      <c r="T36" s="1" t="s">
        <v>18</v>
      </c>
      <c r="U36" s="1" t="s">
        <v>19</v>
      </c>
      <c r="V36" s="1" t="s">
        <v>20</v>
      </c>
      <c r="X36" s="1" t="s">
        <v>47</v>
      </c>
      <c r="Y36" s="1" t="s">
        <v>48</v>
      </c>
      <c r="Z36" s="1" t="s">
        <v>66</v>
      </c>
      <c r="AC36" s="7"/>
    </row>
    <row r="37" spans="1:29" x14ac:dyDescent="0.25">
      <c r="A37" s="7"/>
      <c r="B37" s="4">
        <v>7.681506089213555E-2</v>
      </c>
      <c r="C37" s="1" t="s">
        <v>13</v>
      </c>
      <c r="D37" s="4">
        <v>0</v>
      </c>
      <c r="E37" s="4">
        <v>0</v>
      </c>
      <c r="F37" s="4">
        <v>0</v>
      </c>
      <c r="G37" s="4">
        <v>0</v>
      </c>
      <c r="H37" s="4">
        <v>0</v>
      </c>
      <c r="I37" s="4">
        <v>0</v>
      </c>
      <c r="J37" s="4">
        <v>0</v>
      </c>
      <c r="K37" s="4">
        <v>0</v>
      </c>
      <c r="N37" s="1" t="s">
        <v>13</v>
      </c>
      <c r="O37" s="5">
        <v>0.41984000000000021</v>
      </c>
      <c r="P37" s="5">
        <v>0.60416000000000025</v>
      </c>
      <c r="Q37" s="5">
        <v>0.6297600000000001</v>
      </c>
      <c r="R37" s="5">
        <v>0.90624000000000005</v>
      </c>
      <c r="S37" s="5">
        <v>0.6297600000000001</v>
      </c>
      <c r="T37" s="5">
        <v>0.90624000000000005</v>
      </c>
      <c r="U37" s="5">
        <v>0.94464000000000026</v>
      </c>
      <c r="V37" s="5">
        <v>1.3593600000000003</v>
      </c>
      <c r="X37">
        <v>6.4000000000000021</v>
      </c>
      <c r="Y37">
        <v>0.41984000000000021</v>
      </c>
      <c r="Z37">
        <v>5.9801600000000015</v>
      </c>
      <c r="AA37">
        <v>0.41984000000000021</v>
      </c>
      <c r="AB37">
        <v>6.5821917808209376E-5</v>
      </c>
      <c r="AC37" s="7"/>
    </row>
    <row r="38" spans="1:29" x14ac:dyDescent="0.25">
      <c r="A38" s="7"/>
      <c r="B38" s="4">
        <v>4.8335938878541283E-2</v>
      </c>
      <c r="C38" s="1" t="s">
        <v>14</v>
      </c>
      <c r="D38" s="4">
        <v>0</v>
      </c>
      <c r="E38" s="4">
        <v>0</v>
      </c>
      <c r="F38" s="4">
        <v>0</v>
      </c>
      <c r="G38" s="4">
        <v>0</v>
      </c>
      <c r="H38" s="4">
        <v>0</v>
      </c>
      <c r="I38" s="4">
        <v>0</v>
      </c>
      <c r="J38" s="4">
        <v>0</v>
      </c>
      <c r="K38" s="4">
        <v>0</v>
      </c>
      <c r="N38" s="1" t="s">
        <v>14</v>
      </c>
      <c r="O38" s="5">
        <v>0.62976000000000032</v>
      </c>
      <c r="P38" s="5">
        <v>0.90624000000000038</v>
      </c>
      <c r="Q38" s="5">
        <v>0.94464000000000026</v>
      </c>
      <c r="R38" s="5">
        <v>1.3593599999999999</v>
      </c>
      <c r="S38" s="5">
        <v>0.94464000000000026</v>
      </c>
      <c r="T38" s="5">
        <v>1.3593599999999999</v>
      </c>
      <c r="U38" s="5">
        <v>1.4169600000000002</v>
      </c>
      <c r="V38" s="5">
        <v>2.0390400000000004</v>
      </c>
      <c r="X38">
        <v>9.6000000000000014</v>
      </c>
      <c r="Y38">
        <v>0.90624000000000038</v>
      </c>
      <c r="Z38">
        <v>8.693760000000001</v>
      </c>
      <c r="AA38">
        <v>9.7004519774010478E-3</v>
      </c>
      <c r="AB38">
        <v>1.0787385159010527E-2</v>
      </c>
      <c r="AC38" s="7"/>
    </row>
    <row r="39" spans="1:29" x14ac:dyDescent="0.25">
      <c r="A39" s="7"/>
      <c r="B39" s="4">
        <v>0.23007446069734158</v>
      </c>
      <c r="C39" s="1" t="s">
        <v>15</v>
      </c>
      <c r="D39" s="4">
        <v>0</v>
      </c>
      <c r="E39" s="4">
        <v>0</v>
      </c>
      <c r="F39" s="4">
        <v>0</v>
      </c>
      <c r="G39" s="4">
        <v>0</v>
      </c>
      <c r="H39" s="4">
        <v>0</v>
      </c>
      <c r="I39" s="4">
        <v>0</v>
      </c>
      <c r="J39" s="4">
        <v>0</v>
      </c>
      <c r="K39" s="4">
        <v>0</v>
      </c>
      <c r="N39" s="1" t="s">
        <v>15</v>
      </c>
      <c r="O39" s="5">
        <v>0.62976000000000021</v>
      </c>
      <c r="P39" s="5">
        <v>0.90624000000000016</v>
      </c>
      <c r="Q39" s="5">
        <v>0.94464000000000004</v>
      </c>
      <c r="R39" s="5">
        <v>1.3593599999999997</v>
      </c>
      <c r="S39" s="5">
        <v>0.94464000000000004</v>
      </c>
      <c r="T39" s="5">
        <v>1.3593599999999997</v>
      </c>
      <c r="U39" s="5">
        <v>1.41696</v>
      </c>
      <c r="V39" s="5">
        <v>2.03904</v>
      </c>
      <c r="X39">
        <v>9.6</v>
      </c>
      <c r="Y39">
        <v>0.94464000000000004</v>
      </c>
      <c r="Z39">
        <v>8.6553599999999999</v>
      </c>
      <c r="AA39">
        <v>3.2443360433604294E-3</v>
      </c>
      <c r="AB39">
        <v>1.3722910381543926E-2</v>
      </c>
      <c r="AC39" s="7"/>
    </row>
    <row r="40" spans="1:29" x14ac:dyDescent="0.25">
      <c r="A40" s="7"/>
      <c r="B40" s="4">
        <v>0.14477453953198158</v>
      </c>
      <c r="C40" s="1" t="s">
        <v>16</v>
      </c>
      <c r="D40" s="4">
        <v>0</v>
      </c>
      <c r="E40" s="4">
        <v>0</v>
      </c>
      <c r="F40" s="4">
        <v>0</v>
      </c>
      <c r="G40" s="4">
        <v>0</v>
      </c>
      <c r="H40" s="4">
        <v>0</v>
      </c>
      <c r="I40" s="4">
        <v>0</v>
      </c>
      <c r="J40" s="4">
        <v>0</v>
      </c>
      <c r="K40" s="4">
        <v>0</v>
      </c>
      <c r="N40" s="1" t="s">
        <v>16</v>
      </c>
      <c r="O40" s="5">
        <v>0.94464000000000026</v>
      </c>
      <c r="P40" s="5">
        <v>1.3593600000000001</v>
      </c>
      <c r="Q40" s="5">
        <v>1.41696</v>
      </c>
      <c r="R40" s="5">
        <v>2.0390399999999995</v>
      </c>
      <c r="S40" s="5">
        <v>1.41696</v>
      </c>
      <c r="T40" s="5">
        <v>2.0390399999999995</v>
      </c>
      <c r="U40" s="5">
        <v>2.1254399999999998</v>
      </c>
      <c r="V40" s="5">
        <v>3.0585599999999995</v>
      </c>
      <c r="X40">
        <v>14.399999999999999</v>
      </c>
      <c r="Y40">
        <v>2.0390399999999995</v>
      </c>
      <c r="Z40">
        <v>12.360959999999999</v>
      </c>
      <c r="AA40">
        <v>7.4747018204643497E-4</v>
      </c>
      <c r="AB40">
        <v>1.0540615097856398E-2</v>
      </c>
      <c r="AC40" s="7"/>
    </row>
    <row r="41" spans="1:29" x14ac:dyDescent="0.25">
      <c r="A41" s="7"/>
      <c r="B41" s="4">
        <v>7.681506089213555E-2</v>
      </c>
      <c r="C41" s="1" t="s">
        <v>17</v>
      </c>
      <c r="D41" s="4">
        <v>0</v>
      </c>
      <c r="E41" s="4">
        <v>0</v>
      </c>
      <c r="F41" s="4">
        <v>0</v>
      </c>
      <c r="G41" s="4">
        <v>0</v>
      </c>
      <c r="H41" s="4">
        <v>0</v>
      </c>
      <c r="I41" s="4">
        <v>0</v>
      </c>
      <c r="J41" s="4">
        <v>0</v>
      </c>
      <c r="K41" s="4">
        <v>0</v>
      </c>
      <c r="N41" s="1" t="s">
        <v>17</v>
      </c>
      <c r="O41" s="5">
        <v>0.62976000000000021</v>
      </c>
      <c r="P41" s="5">
        <v>0.90624000000000016</v>
      </c>
      <c r="Q41" s="5">
        <v>0.94464000000000004</v>
      </c>
      <c r="R41" s="5">
        <v>1.3593599999999997</v>
      </c>
      <c r="S41" s="5">
        <v>0.94464000000000004</v>
      </c>
      <c r="T41" s="5">
        <v>1.3593599999999997</v>
      </c>
      <c r="U41" s="5">
        <v>1.41696</v>
      </c>
      <c r="V41" s="5">
        <v>2.03904</v>
      </c>
      <c r="X41">
        <v>9.6</v>
      </c>
      <c r="Y41">
        <v>0.94464000000000004</v>
      </c>
      <c r="Z41">
        <v>8.6553599999999999</v>
      </c>
      <c r="AA41">
        <v>3.2443360433604294E-3</v>
      </c>
      <c r="AB41">
        <v>1.3722910381543926E-2</v>
      </c>
      <c r="AC41" s="7"/>
    </row>
    <row r="42" spans="1:29" x14ac:dyDescent="0.25">
      <c r="A42" s="7"/>
      <c r="B42" s="4">
        <v>4.8335938878541283E-2</v>
      </c>
      <c r="C42" s="1" t="s">
        <v>18</v>
      </c>
      <c r="D42" s="4">
        <v>0</v>
      </c>
      <c r="E42" s="4">
        <v>0</v>
      </c>
      <c r="F42" s="4">
        <v>0</v>
      </c>
      <c r="G42" s="4">
        <v>0</v>
      </c>
      <c r="H42" s="4">
        <v>0</v>
      </c>
      <c r="I42" s="4">
        <v>0</v>
      </c>
      <c r="J42" s="4">
        <v>0</v>
      </c>
      <c r="K42" s="4">
        <v>0</v>
      </c>
      <c r="N42" s="1" t="s">
        <v>18</v>
      </c>
      <c r="O42" s="5">
        <v>0.94464000000000026</v>
      </c>
      <c r="P42" s="5">
        <v>1.3593600000000001</v>
      </c>
      <c r="Q42" s="5">
        <v>1.41696</v>
      </c>
      <c r="R42" s="5">
        <v>2.0390399999999995</v>
      </c>
      <c r="S42" s="5">
        <v>1.41696</v>
      </c>
      <c r="T42" s="5">
        <v>2.0390399999999995</v>
      </c>
      <c r="U42" s="5">
        <v>2.1254399999999998</v>
      </c>
      <c r="V42" s="5">
        <v>3.0585599999999995</v>
      </c>
      <c r="X42">
        <v>14.399999999999999</v>
      </c>
      <c r="Y42">
        <v>2.0390399999999995</v>
      </c>
      <c r="Z42">
        <v>12.360959999999999</v>
      </c>
      <c r="AA42">
        <v>0.45288180790960508</v>
      </c>
      <c r="AB42">
        <v>0.14984371129750412</v>
      </c>
      <c r="AC42" s="7"/>
    </row>
    <row r="43" spans="1:29" x14ac:dyDescent="0.25">
      <c r="A43" s="7"/>
      <c r="B43" s="4">
        <v>0.23007446069734158</v>
      </c>
      <c r="C43" s="1" t="s">
        <v>19</v>
      </c>
      <c r="D43" s="4">
        <v>0</v>
      </c>
      <c r="E43" s="4">
        <v>0</v>
      </c>
      <c r="F43" s="4">
        <v>0</v>
      </c>
      <c r="G43" s="4">
        <v>0</v>
      </c>
      <c r="H43" s="4">
        <v>0</v>
      </c>
      <c r="I43" s="4">
        <v>0</v>
      </c>
      <c r="J43" s="4">
        <v>0</v>
      </c>
      <c r="K43" s="4">
        <v>0</v>
      </c>
      <c r="N43" s="1" t="s">
        <v>19</v>
      </c>
      <c r="O43" s="5">
        <v>0.94464000000000026</v>
      </c>
      <c r="P43" s="5">
        <v>1.3593600000000001</v>
      </c>
      <c r="Q43" s="5">
        <v>1.41696</v>
      </c>
      <c r="R43" s="5">
        <v>2.0390399999999995</v>
      </c>
      <c r="S43" s="5">
        <v>1.41696</v>
      </c>
      <c r="T43" s="5">
        <v>2.0390399999999995</v>
      </c>
      <c r="U43" s="5">
        <v>2.1254399999999998</v>
      </c>
      <c r="V43" s="5">
        <v>3.0585599999999995</v>
      </c>
      <c r="X43">
        <v>14.399999999999999</v>
      </c>
      <c r="Y43">
        <v>2.1254399999999998</v>
      </c>
      <c r="Z43">
        <v>12.274559999999999</v>
      </c>
      <c r="AA43">
        <v>7.4032640770851895E-3</v>
      </c>
      <c r="AB43">
        <v>6.1414171750351623E-3</v>
      </c>
      <c r="AC43" s="7"/>
    </row>
    <row r="44" spans="1:29" x14ac:dyDescent="0.25">
      <c r="A44" s="7"/>
      <c r="B44" s="4">
        <v>0.14477453953198158</v>
      </c>
      <c r="C44" s="1" t="s">
        <v>20</v>
      </c>
      <c r="D44" s="4">
        <v>0</v>
      </c>
      <c r="E44" s="4">
        <v>0</v>
      </c>
      <c r="F44" s="4">
        <v>0</v>
      </c>
      <c r="G44" s="4">
        <v>0</v>
      </c>
      <c r="H44" s="4">
        <v>0</v>
      </c>
      <c r="I44" s="4">
        <v>0</v>
      </c>
      <c r="J44" s="4">
        <v>0</v>
      </c>
      <c r="K44" s="4">
        <v>0</v>
      </c>
      <c r="N44" s="1" t="s">
        <v>20</v>
      </c>
      <c r="O44" s="5">
        <v>1.4169600000000004</v>
      </c>
      <c r="P44" s="5">
        <v>2.0390400000000004</v>
      </c>
      <c r="Q44" s="5">
        <v>2.1254399999999998</v>
      </c>
      <c r="R44" s="5">
        <v>3.0585599999999995</v>
      </c>
      <c r="S44" s="5">
        <v>2.1254399999999998</v>
      </c>
      <c r="T44" s="5">
        <v>3.0585599999999995</v>
      </c>
      <c r="U44" s="5">
        <v>3.1881600000000003</v>
      </c>
      <c r="V44" s="5">
        <v>4.587839999999999</v>
      </c>
      <c r="X44">
        <v>21.6</v>
      </c>
      <c r="Y44">
        <v>4.587839999999999</v>
      </c>
      <c r="Z44">
        <v>17.012160000000002</v>
      </c>
      <c r="AA44">
        <v>3.7027417172351439E-2</v>
      </c>
      <c r="AB44">
        <v>8.6917593062865935E-6</v>
      </c>
      <c r="AC44" s="7"/>
    </row>
    <row r="45" spans="1:29" x14ac:dyDescent="0.25">
      <c r="A45" s="7"/>
      <c r="X45" s="9">
        <v>100</v>
      </c>
      <c r="Y45" s="9">
        <v>14.006719999999998</v>
      </c>
      <c r="Z45" s="9">
        <v>85.993279999999999</v>
      </c>
      <c r="AA45" s="9">
        <v>0.93408908340521024</v>
      </c>
      <c r="AB45" s="9">
        <v>0.20483346316960857</v>
      </c>
      <c r="AC45" s="7"/>
    </row>
    <row r="46" spans="1:29" x14ac:dyDescent="0.25">
      <c r="A46" s="7"/>
      <c r="C46" s="1" t="s">
        <v>28</v>
      </c>
      <c r="D46" s="4">
        <v>3.1578610845853297E-2</v>
      </c>
      <c r="E46" s="4">
        <v>5.0184458423547185E-2</v>
      </c>
      <c r="F46" s="4">
        <v>9.458342902485109E-2</v>
      </c>
      <c r="G46" s="4">
        <v>0.15031117691098378</v>
      </c>
      <c r="H46" s="4">
        <v>3.1578610845853297E-2</v>
      </c>
      <c r="I46" s="4">
        <v>5.0184458423547185E-2</v>
      </c>
      <c r="J46" s="4">
        <v>9.458342902485109E-2</v>
      </c>
      <c r="K46" s="4">
        <v>0.15031117691098378</v>
      </c>
      <c r="P46" t="s">
        <v>70</v>
      </c>
      <c r="AB46" s="22">
        <v>1.1389225465748187</v>
      </c>
      <c r="AC46" s="7"/>
    </row>
    <row r="47" spans="1:29" x14ac:dyDescent="0.25">
      <c r="A47" s="7"/>
      <c r="C47" s="1"/>
      <c r="D47" s="1" t="s">
        <v>13</v>
      </c>
      <c r="E47" s="1" t="s">
        <v>14</v>
      </c>
      <c r="F47" s="1" t="s">
        <v>15</v>
      </c>
      <c r="G47" s="1" t="s">
        <v>16</v>
      </c>
      <c r="H47" s="1" t="s">
        <v>17</v>
      </c>
      <c r="I47" s="1" t="s">
        <v>18</v>
      </c>
      <c r="J47" s="1" t="s">
        <v>19</v>
      </c>
      <c r="K47" s="1" t="s">
        <v>20</v>
      </c>
      <c r="L47" s="1"/>
      <c r="O47" s="1" t="s">
        <v>13</v>
      </c>
      <c r="P47" s="1" t="s">
        <v>14</v>
      </c>
      <c r="Q47" s="1" t="s">
        <v>15</v>
      </c>
      <c r="R47" s="1" t="s">
        <v>16</v>
      </c>
      <c r="S47" s="1" t="s">
        <v>17</v>
      </c>
      <c r="T47" s="1" t="s">
        <v>18</v>
      </c>
      <c r="U47" s="1" t="s">
        <v>19</v>
      </c>
      <c r="V47" s="1" t="s">
        <v>20</v>
      </c>
      <c r="Z47" t="s">
        <v>68</v>
      </c>
      <c r="AC47" s="7"/>
    </row>
    <row r="48" spans="1:29" x14ac:dyDescent="0.25">
      <c r="A48" s="7"/>
      <c r="B48" s="4">
        <v>4.8335938878541283E-2</v>
      </c>
      <c r="C48" s="1" t="s">
        <v>13</v>
      </c>
      <c r="D48" s="4">
        <v>1.5263818037144058E-3</v>
      </c>
      <c r="E48" s="4">
        <v>2.4257129150132731E-3</v>
      </c>
      <c r="F48" s="4">
        <v>4.5717788442680499E-3</v>
      </c>
      <c r="G48" s="4">
        <v>7.2654318599309174E-3</v>
      </c>
      <c r="H48" s="4">
        <v>1.5263818037144058E-3</v>
      </c>
      <c r="I48" s="4">
        <v>2.4257129150132731E-3</v>
      </c>
      <c r="J48" s="4">
        <v>4.5717788442680499E-3</v>
      </c>
      <c r="K48" s="4">
        <v>7.2654318599309174E-3</v>
      </c>
      <c r="N48" s="1" t="s">
        <v>13</v>
      </c>
      <c r="O48">
        <v>0.41984000000000021</v>
      </c>
      <c r="P48">
        <v>0.25935067796610128</v>
      </c>
      <c r="Q48">
        <v>0.6297600000000001</v>
      </c>
      <c r="R48">
        <v>9.7004519774011189E-3</v>
      </c>
      <c r="S48">
        <v>0.21766650406504051</v>
      </c>
      <c r="T48">
        <v>9.7004519774011189E-3</v>
      </c>
      <c r="U48">
        <v>3.2443360433604025E-3</v>
      </c>
      <c r="V48">
        <v>9.5000301318267588E-2</v>
      </c>
      <c r="W48" s="7">
        <v>1.6442627233475724</v>
      </c>
      <c r="Z48" t="s">
        <v>67</v>
      </c>
      <c r="AC48" s="7"/>
    </row>
    <row r="49" spans="1:29" x14ac:dyDescent="0.25">
      <c r="A49" s="7"/>
      <c r="B49" s="4">
        <v>7.681506089213555E-2</v>
      </c>
      <c r="C49" s="1" t="s">
        <v>14</v>
      </c>
      <c r="D49" s="4">
        <v>2.4257129150132731E-3</v>
      </c>
      <c r="E49" s="4">
        <v>3.854922229643622E-3</v>
      </c>
      <c r="F49" s="4">
        <v>7.2654318599309174E-3</v>
      </c>
      <c r="G49" s="4">
        <v>1.1546162207185778E-2</v>
      </c>
      <c r="H49" s="4">
        <v>2.4257129150132731E-3</v>
      </c>
      <c r="I49" s="4">
        <v>3.854922229643622E-3</v>
      </c>
      <c r="J49" s="4">
        <v>7.2654318599309174E-3</v>
      </c>
      <c r="K49" s="4">
        <v>1.1546162207185778E-2</v>
      </c>
      <c r="N49" s="1" t="s">
        <v>14</v>
      </c>
      <c r="O49">
        <v>0.21766650406504018</v>
      </c>
      <c r="P49">
        <v>9.7004519774010478E-3</v>
      </c>
      <c r="Q49">
        <v>3.2443360433604025E-3</v>
      </c>
      <c r="R49">
        <v>9.500030131826738E-2</v>
      </c>
      <c r="S49">
        <v>3.2443360433604025E-3</v>
      </c>
      <c r="T49">
        <v>9.500030131826738E-2</v>
      </c>
      <c r="U49">
        <v>0.2399048961156276</v>
      </c>
      <c r="V49">
        <v>7.4747018204646869E-4</v>
      </c>
      <c r="W49" s="7">
        <v>0.66450859706337084</v>
      </c>
      <c r="Z49" t="s">
        <v>69</v>
      </c>
      <c r="AB49">
        <v>12</v>
      </c>
      <c r="AC49" s="7"/>
    </row>
    <row r="50" spans="1:29" x14ac:dyDescent="0.25">
      <c r="A50" s="7"/>
      <c r="B50" s="4">
        <v>0.14477453953198158</v>
      </c>
      <c r="C50" s="1" t="s">
        <v>15</v>
      </c>
      <c r="D50" s="4">
        <v>4.5717788442680507E-3</v>
      </c>
      <c r="E50" s="4">
        <v>7.2654318599309174E-3</v>
      </c>
      <c r="F50" s="4">
        <v>1.3693272384428678E-2</v>
      </c>
      <c r="G50" s="4">
        <v>2.1761231423797898E-2</v>
      </c>
      <c r="H50" s="4">
        <v>4.5717788442680507E-3</v>
      </c>
      <c r="I50" s="4">
        <v>7.2654318599309174E-3</v>
      </c>
      <c r="J50" s="4">
        <v>1.3693272384428678E-2</v>
      </c>
      <c r="K50" s="4">
        <v>2.1761231423797898E-2</v>
      </c>
      <c r="N50" s="1" t="s">
        <v>15</v>
      </c>
      <c r="O50">
        <v>0.62976000000000021</v>
      </c>
      <c r="P50">
        <v>9.7004519774010946E-3</v>
      </c>
      <c r="Q50">
        <v>3.2443360433604294E-3</v>
      </c>
      <c r="R50">
        <v>0.30192120527307004</v>
      </c>
      <c r="S50">
        <v>3.2443360433604294E-3</v>
      </c>
      <c r="T50">
        <v>9.5000301318267269E-2</v>
      </c>
      <c r="U50">
        <v>0.23990489611562782</v>
      </c>
      <c r="V50">
        <v>7.4747018204645189E-4</v>
      </c>
      <c r="W50" s="7">
        <v>1.2835229969531337</v>
      </c>
      <c r="AC50" s="7"/>
    </row>
    <row r="51" spans="1:29" x14ac:dyDescent="0.25">
      <c r="A51" s="7"/>
      <c r="B51" s="4">
        <v>0.23007446069734158</v>
      </c>
      <c r="C51" s="1" t="s">
        <v>16</v>
      </c>
      <c r="D51" s="4">
        <v>7.2654318599309192E-3</v>
      </c>
      <c r="E51" s="4">
        <v>1.1546162207185779E-2</v>
      </c>
      <c r="F51" s="4">
        <v>2.1761231423797898E-2</v>
      </c>
      <c r="G51" s="4">
        <v>3.4582762964577296E-2</v>
      </c>
      <c r="H51" s="4">
        <v>7.2654318599309192E-3</v>
      </c>
      <c r="I51" s="4">
        <v>1.1546162207185779E-2</v>
      </c>
      <c r="J51" s="4">
        <v>2.1761231423797898E-2</v>
      </c>
      <c r="K51" s="4">
        <v>3.4582762964577296E-2</v>
      </c>
      <c r="N51" s="1" t="s">
        <v>16</v>
      </c>
      <c r="O51">
        <v>3.2443360433604025E-3</v>
      </c>
      <c r="P51">
        <v>9.5000301318267477E-2</v>
      </c>
      <c r="Q51">
        <v>0.23990489611562782</v>
      </c>
      <c r="R51">
        <v>7.4747018204643497E-4</v>
      </c>
      <c r="S51">
        <v>0.12269622402890695</v>
      </c>
      <c r="T51">
        <v>7.4747018204643497E-4</v>
      </c>
      <c r="U51">
        <v>7.4032640770851895E-3</v>
      </c>
      <c r="V51">
        <v>1.121205273069661E-3</v>
      </c>
      <c r="W51" s="7">
        <v>0.47086516722041039</v>
      </c>
      <c r="AC51" s="7"/>
    </row>
    <row r="52" spans="1:29" x14ac:dyDescent="0.25">
      <c r="A52" s="7"/>
      <c r="B52" s="4">
        <v>4.8335938878541283E-2</v>
      </c>
      <c r="C52" s="1" t="s">
        <v>17</v>
      </c>
      <c r="D52" s="4">
        <v>1.5263818037144058E-3</v>
      </c>
      <c r="E52" s="4">
        <v>2.4257129150132731E-3</v>
      </c>
      <c r="F52" s="4">
        <v>4.5717788442680499E-3</v>
      </c>
      <c r="G52" s="4">
        <v>7.2654318599309174E-3</v>
      </c>
      <c r="H52" s="4">
        <v>1.5263818037144058E-3</v>
      </c>
      <c r="I52" s="4">
        <v>2.4257129150132731E-3</v>
      </c>
      <c r="J52" s="4">
        <v>4.5717788442680499E-3</v>
      </c>
      <c r="K52" s="4">
        <v>7.2654318599309174E-3</v>
      </c>
      <c r="N52" s="1" t="s">
        <v>17</v>
      </c>
      <c r="O52">
        <v>0.21766650406504034</v>
      </c>
      <c r="P52">
        <v>9.7004519774010946E-3</v>
      </c>
      <c r="Q52">
        <v>3.2443360433604294E-3</v>
      </c>
      <c r="R52">
        <v>9.5000301318267269E-2</v>
      </c>
      <c r="S52">
        <v>3.2443360433604294E-3</v>
      </c>
      <c r="T52">
        <v>9.5000301318267269E-2</v>
      </c>
      <c r="U52">
        <v>0.12269622402890695</v>
      </c>
      <c r="V52">
        <v>0.45288180790960458</v>
      </c>
      <c r="W52" s="7">
        <v>0.99943426270420832</v>
      </c>
      <c r="AC52" s="7"/>
    </row>
    <row r="53" spans="1:29" x14ac:dyDescent="0.25">
      <c r="A53" s="7"/>
      <c r="B53" s="4">
        <v>7.681506089213555E-2</v>
      </c>
      <c r="C53" s="1" t="s">
        <v>18</v>
      </c>
      <c r="D53" s="4">
        <v>2.4257129150132731E-3</v>
      </c>
      <c r="E53" s="4">
        <v>3.854922229643622E-3</v>
      </c>
      <c r="F53" s="4">
        <v>7.2654318599309174E-3</v>
      </c>
      <c r="G53" s="4">
        <v>1.1546162207185778E-2</v>
      </c>
      <c r="H53" s="4">
        <v>2.4257129150132731E-3</v>
      </c>
      <c r="I53" s="4">
        <v>3.854922229643622E-3</v>
      </c>
      <c r="J53" s="4">
        <v>7.2654318599309174E-3</v>
      </c>
      <c r="K53" s="4">
        <v>1.1546162207185778E-2</v>
      </c>
      <c r="N53" s="1" t="s">
        <v>18</v>
      </c>
      <c r="O53">
        <v>3.2443360433604025E-3</v>
      </c>
      <c r="P53">
        <v>9.5000301318267477E-2</v>
      </c>
      <c r="Q53">
        <v>0.12269622402890695</v>
      </c>
      <c r="R53">
        <v>7.4747018204643497E-4</v>
      </c>
      <c r="S53">
        <v>0.12269622402890695</v>
      </c>
      <c r="T53">
        <v>0.45288180790960508</v>
      </c>
      <c r="U53">
        <v>7.4032640770851895E-3</v>
      </c>
      <c r="V53">
        <v>1.121205273069661E-3</v>
      </c>
      <c r="W53" s="7">
        <v>0.80579083286124809</v>
      </c>
      <c r="AC53" s="7"/>
    </row>
    <row r="54" spans="1:29" x14ac:dyDescent="0.25">
      <c r="A54" s="7"/>
      <c r="B54" s="4">
        <v>0.14477453953198158</v>
      </c>
      <c r="C54" s="1" t="s">
        <v>19</v>
      </c>
      <c r="D54" s="4">
        <v>4.5717788442680507E-3</v>
      </c>
      <c r="E54" s="4">
        <v>7.2654318599309174E-3</v>
      </c>
      <c r="F54" s="4">
        <v>1.3693272384428678E-2</v>
      </c>
      <c r="G54" s="4">
        <v>2.1761231423797898E-2</v>
      </c>
      <c r="H54" s="4">
        <v>4.5717788442680507E-3</v>
      </c>
      <c r="I54" s="4">
        <v>7.2654318599309174E-3</v>
      </c>
      <c r="J54" s="4">
        <v>1.3693272384428678E-2</v>
      </c>
      <c r="K54" s="4">
        <v>2.1761231423797898E-2</v>
      </c>
      <c r="N54" s="1" t="s">
        <v>19</v>
      </c>
      <c r="O54">
        <v>3.2443360433604025E-3</v>
      </c>
      <c r="P54">
        <v>0.30192120527306954</v>
      </c>
      <c r="Q54">
        <v>0.23990489611562782</v>
      </c>
      <c r="R54">
        <v>7.4747018204643497E-4</v>
      </c>
      <c r="S54">
        <v>0.12269622402890695</v>
      </c>
      <c r="T54">
        <v>7.4747018204643497E-4</v>
      </c>
      <c r="U54">
        <v>7.4032640770851895E-3</v>
      </c>
      <c r="V54">
        <v>0.36636498012136398</v>
      </c>
      <c r="W54" s="7">
        <v>1.0430298460235068</v>
      </c>
      <c r="AC54" s="7"/>
    </row>
    <row r="55" spans="1:29" x14ac:dyDescent="0.25">
      <c r="A55" s="7"/>
      <c r="B55" s="4">
        <v>0.23007446069734158</v>
      </c>
      <c r="C55" s="1" t="s">
        <v>20</v>
      </c>
      <c r="D55" s="4">
        <v>7.2654318599309192E-3</v>
      </c>
      <c r="E55" s="4">
        <v>1.1546162207185779E-2</v>
      </c>
      <c r="F55" s="4">
        <v>2.1761231423797898E-2</v>
      </c>
      <c r="G55" s="4">
        <v>3.4582762964577296E-2</v>
      </c>
      <c r="H55" s="4">
        <v>7.2654318599309192E-3</v>
      </c>
      <c r="I55" s="4">
        <v>1.1546162207185779E-2</v>
      </c>
      <c r="J55" s="4">
        <v>2.1761231423797898E-2</v>
      </c>
      <c r="K55" s="4">
        <v>3.4582762964577296E-2</v>
      </c>
      <c r="N55" s="1" t="s">
        <v>20</v>
      </c>
      <c r="O55">
        <v>0.12269622402890717</v>
      </c>
      <c r="P55">
        <v>7.4747018204646869E-4</v>
      </c>
      <c r="Q55">
        <v>7.4032640770851895E-3</v>
      </c>
      <c r="R55">
        <v>1.121205273069661E-3</v>
      </c>
      <c r="S55">
        <v>0.35985734417344195</v>
      </c>
      <c r="T55">
        <v>1.121205273069661E-3</v>
      </c>
      <c r="U55">
        <v>1.1104896115627861E-2</v>
      </c>
      <c r="V55">
        <v>3.7027417172351439E-2</v>
      </c>
      <c r="W55" s="7">
        <v>0.54107902629559945</v>
      </c>
      <c r="AC55" s="7"/>
    </row>
    <row r="56" spans="1:29" x14ac:dyDescent="0.25">
      <c r="A56" s="7"/>
      <c r="O56" s="7">
        <v>1.6173622402890695</v>
      </c>
      <c r="P56" s="7">
        <v>0.78112131198995549</v>
      </c>
      <c r="Q56" s="7">
        <v>1.249402288467329</v>
      </c>
      <c r="R56" s="7">
        <v>0.50498587570621489</v>
      </c>
      <c r="S56" s="7">
        <v>0.95534552845528464</v>
      </c>
      <c r="T56" s="7">
        <v>0.75019930947897073</v>
      </c>
      <c r="U56" s="7">
        <v>0.63906504065040604</v>
      </c>
      <c r="V56" s="7">
        <v>0.95501185743181993</v>
      </c>
      <c r="W56" s="22">
        <v>7.4524934524690494</v>
      </c>
      <c r="X56" t="s">
        <v>64</v>
      </c>
      <c r="AC56" s="7"/>
    </row>
    <row r="57" spans="1:29" x14ac:dyDescent="0.25">
      <c r="A57" s="7"/>
      <c r="C57" s="1" t="s">
        <v>29</v>
      </c>
      <c r="D57" s="4">
        <v>0</v>
      </c>
      <c r="E57" s="4">
        <v>0</v>
      </c>
      <c r="F57" s="4">
        <v>0</v>
      </c>
      <c r="G57" s="4">
        <v>0</v>
      </c>
      <c r="H57" s="4">
        <v>0</v>
      </c>
      <c r="I57" s="4">
        <v>0</v>
      </c>
      <c r="J57" s="4">
        <v>0</v>
      </c>
      <c r="K57" s="4">
        <v>0</v>
      </c>
      <c r="X57">
        <v>1.4176454720613534E-17</v>
      </c>
      <c r="AC57" s="7"/>
    </row>
    <row r="58" spans="1:29" x14ac:dyDescent="0.25">
      <c r="A58" s="7"/>
      <c r="C58" s="1"/>
      <c r="D58" s="1" t="s">
        <v>13</v>
      </c>
      <c r="E58" s="1" t="s">
        <v>14</v>
      </c>
      <c r="F58" s="1" t="s">
        <v>15</v>
      </c>
      <c r="G58" s="1" t="s">
        <v>16</v>
      </c>
      <c r="H58" s="1" t="s">
        <v>17</v>
      </c>
      <c r="I58" s="1" t="s">
        <v>18</v>
      </c>
      <c r="J58" s="1" t="s">
        <v>19</v>
      </c>
      <c r="K58" s="1" t="s">
        <v>20</v>
      </c>
      <c r="L58" s="1"/>
      <c r="X58">
        <v>1</v>
      </c>
      <c r="Y58" t="s">
        <v>65</v>
      </c>
      <c r="AC58" s="7"/>
    </row>
    <row r="59" spans="1:29" x14ac:dyDescent="0.25">
      <c r="A59" s="7"/>
      <c r="B59" s="4">
        <v>0.23007446069734158</v>
      </c>
      <c r="C59" s="1" t="s">
        <v>13</v>
      </c>
      <c r="D59" s="4">
        <v>0</v>
      </c>
      <c r="E59" s="4">
        <v>0</v>
      </c>
      <c r="F59" s="4">
        <v>0</v>
      </c>
      <c r="G59" s="4">
        <v>0</v>
      </c>
      <c r="H59" s="4">
        <v>0</v>
      </c>
      <c r="I59" s="4">
        <v>0</v>
      </c>
      <c r="J59" s="4">
        <v>0</v>
      </c>
      <c r="K59" s="4">
        <v>0</v>
      </c>
      <c r="AC59" s="7"/>
    </row>
    <row r="60" spans="1:29" x14ac:dyDescent="0.25">
      <c r="A60" s="7"/>
      <c r="B60" s="4">
        <v>0.14477453953198158</v>
      </c>
      <c r="C60" s="1" t="s">
        <v>14</v>
      </c>
      <c r="D60" s="4">
        <v>0</v>
      </c>
      <c r="E60" s="4">
        <v>0</v>
      </c>
      <c r="F60" s="4">
        <v>0</v>
      </c>
      <c r="G60" s="4">
        <v>0</v>
      </c>
      <c r="H60" s="4">
        <v>0</v>
      </c>
      <c r="I60" s="4">
        <v>0</v>
      </c>
      <c r="J60" s="4">
        <v>0</v>
      </c>
      <c r="K60" s="4">
        <v>0</v>
      </c>
      <c r="O60" s="23"/>
      <c r="P60" s="23"/>
      <c r="Q60" s="23"/>
      <c r="R60" s="23"/>
      <c r="S60" s="23"/>
      <c r="T60" s="23"/>
      <c r="U60" s="23"/>
      <c r="V60" s="23"/>
      <c r="AC60" s="7"/>
    </row>
    <row r="61" spans="1:29" x14ac:dyDescent="0.25">
      <c r="A61" s="7"/>
      <c r="B61" s="4">
        <v>7.681506089213555E-2</v>
      </c>
      <c r="C61" s="1" t="s">
        <v>15</v>
      </c>
      <c r="D61" s="4">
        <v>0</v>
      </c>
      <c r="E61" s="4">
        <v>0</v>
      </c>
      <c r="F61" s="4">
        <v>0</v>
      </c>
      <c r="G61" s="4">
        <v>0</v>
      </c>
      <c r="H61" s="4">
        <v>0</v>
      </c>
      <c r="I61" s="4">
        <v>0</v>
      </c>
      <c r="J61" s="4">
        <v>0</v>
      </c>
      <c r="K61" s="4">
        <v>0</v>
      </c>
      <c r="O61" s="23"/>
      <c r="P61" s="23"/>
      <c r="Q61" s="23"/>
      <c r="R61" s="23"/>
      <c r="S61" s="23"/>
      <c r="T61" s="23"/>
      <c r="U61" s="23"/>
      <c r="V61" s="23"/>
      <c r="AC61" s="7"/>
    </row>
    <row r="62" spans="1:29" x14ac:dyDescent="0.25">
      <c r="A62" s="7"/>
      <c r="B62" s="4">
        <v>4.8335938878541283E-2</v>
      </c>
      <c r="C62" s="1" t="s">
        <v>16</v>
      </c>
      <c r="D62" s="4">
        <v>0</v>
      </c>
      <c r="E62" s="4">
        <v>0</v>
      </c>
      <c r="F62" s="4">
        <v>0</v>
      </c>
      <c r="G62" s="4">
        <v>0</v>
      </c>
      <c r="H62" s="4">
        <v>0</v>
      </c>
      <c r="I62" s="4">
        <v>0</v>
      </c>
      <c r="J62" s="4">
        <v>0</v>
      </c>
      <c r="K62" s="4">
        <v>0</v>
      </c>
      <c r="O62" s="23"/>
      <c r="P62" s="23"/>
      <c r="Q62" s="23"/>
      <c r="R62" s="23"/>
      <c r="S62" s="23"/>
      <c r="T62" s="23"/>
      <c r="U62" s="23"/>
      <c r="V62" s="23"/>
      <c r="AC62" s="7"/>
    </row>
    <row r="63" spans="1:29" x14ac:dyDescent="0.25">
      <c r="A63" s="7"/>
      <c r="B63" s="4">
        <v>0.23007446069734158</v>
      </c>
      <c r="C63" s="1" t="s">
        <v>17</v>
      </c>
      <c r="D63" s="4">
        <v>0</v>
      </c>
      <c r="E63" s="4">
        <v>0</v>
      </c>
      <c r="F63" s="4">
        <v>0</v>
      </c>
      <c r="G63" s="4">
        <v>0</v>
      </c>
      <c r="H63" s="4">
        <v>0</v>
      </c>
      <c r="I63" s="4">
        <v>0</v>
      </c>
      <c r="J63" s="4">
        <v>0</v>
      </c>
      <c r="K63" s="4">
        <v>0</v>
      </c>
      <c r="O63" s="23"/>
      <c r="P63" s="23"/>
      <c r="Q63" s="23"/>
      <c r="R63" s="23"/>
      <c r="S63" s="23"/>
      <c r="T63" s="23"/>
      <c r="U63" s="23"/>
      <c r="V63" s="23"/>
      <c r="AC63" s="7"/>
    </row>
    <row r="64" spans="1:29" x14ac:dyDescent="0.25">
      <c r="A64" s="7"/>
      <c r="B64" s="4">
        <v>0.14477453953198158</v>
      </c>
      <c r="C64" s="1" t="s">
        <v>18</v>
      </c>
      <c r="D64" s="4">
        <v>0</v>
      </c>
      <c r="E64" s="4">
        <v>0</v>
      </c>
      <c r="F64" s="4">
        <v>0</v>
      </c>
      <c r="G64" s="4">
        <v>0</v>
      </c>
      <c r="H64" s="4">
        <v>0</v>
      </c>
      <c r="I64" s="4">
        <v>0</v>
      </c>
      <c r="J64" s="4">
        <v>0</v>
      </c>
      <c r="K64" s="4">
        <v>0</v>
      </c>
      <c r="O64" s="23"/>
      <c r="P64" s="23"/>
      <c r="Q64" s="23"/>
      <c r="R64" s="23"/>
      <c r="S64" s="23"/>
      <c r="T64" s="23"/>
      <c r="U64" s="23"/>
      <c r="V64" s="23"/>
      <c r="AC64" s="7"/>
    </row>
    <row r="65" spans="1:29" x14ac:dyDescent="0.25">
      <c r="A65" s="7"/>
      <c r="B65" s="4">
        <v>7.681506089213555E-2</v>
      </c>
      <c r="C65" s="1" t="s">
        <v>19</v>
      </c>
      <c r="D65" s="4">
        <v>0</v>
      </c>
      <c r="E65" s="4">
        <v>0</v>
      </c>
      <c r="F65" s="4">
        <v>0</v>
      </c>
      <c r="G65" s="4">
        <v>0</v>
      </c>
      <c r="H65" s="4">
        <v>0</v>
      </c>
      <c r="I65" s="4">
        <v>0</v>
      </c>
      <c r="J65" s="4">
        <v>0</v>
      </c>
      <c r="K65" s="4">
        <v>0</v>
      </c>
      <c r="O65" s="23"/>
      <c r="P65" s="23"/>
      <c r="Q65" s="23"/>
      <c r="R65" s="23"/>
      <c r="S65" s="23"/>
      <c r="T65" s="23"/>
      <c r="U65" s="23"/>
      <c r="V65" s="23"/>
      <c r="AC65" s="7"/>
    </row>
    <row r="66" spans="1:29" x14ac:dyDescent="0.25">
      <c r="A66" s="7"/>
      <c r="B66" s="4">
        <v>4.8335938878541283E-2</v>
      </c>
      <c r="C66" s="1" t="s">
        <v>20</v>
      </c>
      <c r="D66" s="4">
        <v>0</v>
      </c>
      <c r="E66" s="4">
        <v>0</v>
      </c>
      <c r="F66" s="4">
        <v>0</v>
      </c>
      <c r="G66" s="4">
        <v>0</v>
      </c>
      <c r="H66" s="4">
        <v>0</v>
      </c>
      <c r="I66" s="4">
        <v>0</v>
      </c>
      <c r="J66" s="4">
        <v>0</v>
      </c>
      <c r="K66" s="4">
        <v>0</v>
      </c>
      <c r="O66" s="23"/>
      <c r="P66" s="23"/>
      <c r="Q66" s="23"/>
      <c r="R66" s="23"/>
      <c r="S66" s="23"/>
      <c r="T66" s="23"/>
      <c r="U66" s="23"/>
      <c r="V66" s="23"/>
      <c r="AC66" s="7"/>
    </row>
    <row r="67" spans="1:29" x14ac:dyDescent="0.25">
      <c r="A67" s="7"/>
      <c r="O67" s="23"/>
      <c r="P67" s="23"/>
      <c r="Q67" s="23"/>
      <c r="R67" s="23"/>
      <c r="S67" s="23"/>
      <c r="T67" s="23"/>
      <c r="U67" s="23"/>
      <c r="V67" s="23"/>
      <c r="AC67" s="7"/>
    </row>
    <row r="68" spans="1:29" x14ac:dyDescent="0.25">
      <c r="A68" s="7"/>
      <c r="C68" s="1" t="s">
        <v>30</v>
      </c>
      <c r="D68" s="4">
        <v>4.4492532303451883E-2</v>
      </c>
      <c r="E68" s="4">
        <v>7.0707152016286773E-2</v>
      </c>
      <c r="F68" s="4">
        <v>1.485474123366903E-2</v>
      </c>
      <c r="G68" s="4">
        <v>2.3607027790822115E-2</v>
      </c>
      <c r="H68" s="4">
        <v>4.4492532303451883E-2</v>
      </c>
      <c r="I68" s="4">
        <v>7.0707152016286773E-2</v>
      </c>
      <c r="J68" s="4">
        <v>1.485474123366903E-2</v>
      </c>
      <c r="K68" s="4">
        <v>2.3607027790822115E-2</v>
      </c>
      <c r="O68" s="5"/>
      <c r="P68" s="5"/>
      <c r="Q68" s="5"/>
      <c r="R68" s="5"/>
      <c r="S68" s="5"/>
      <c r="T68" s="5"/>
      <c r="U68" s="5"/>
      <c r="V68" s="5"/>
      <c r="AC68" s="7"/>
    </row>
    <row r="69" spans="1:29" x14ac:dyDescent="0.25">
      <c r="A69" s="7"/>
      <c r="C69" s="1"/>
      <c r="D69" s="1" t="s">
        <v>13</v>
      </c>
      <c r="E69" s="1" t="s">
        <v>14</v>
      </c>
      <c r="F69" s="1" t="s">
        <v>15</v>
      </c>
      <c r="G69" s="1" t="s">
        <v>16</v>
      </c>
      <c r="H69" s="1" t="s">
        <v>17</v>
      </c>
      <c r="I69" s="1" t="s">
        <v>18</v>
      </c>
      <c r="J69" s="1" t="s">
        <v>19</v>
      </c>
      <c r="K69" s="1" t="s">
        <v>20</v>
      </c>
      <c r="L69" s="1"/>
      <c r="AC69" s="7"/>
    </row>
    <row r="70" spans="1:29" x14ac:dyDescent="0.25">
      <c r="A70" s="7"/>
      <c r="B70" s="4">
        <v>0.14477453953198158</v>
      </c>
      <c r="C70" s="1" t="s">
        <v>13</v>
      </c>
      <c r="D70" s="4">
        <v>6.4413858768440618E-3</v>
      </c>
      <c r="E70" s="4">
        <v>1.0236595374775741E-2</v>
      </c>
      <c r="F70" s="4">
        <v>2.1505883219711738E-3</v>
      </c>
      <c r="G70" s="4">
        <v>3.417696578134964E-3</v>
      </c>
      <c r="H70" s="4">
        <v>6.4413858768440618E-3</v>
      </c>
      <c r="I70" s="4">
        <v>1.0236595374775741E-2</v>
      </c>
      <c r="J70" s="4">
        <v>2.1505883219711738E-3</v>
      </c>
      <c r="K70" s="4">
        <v>3.417696578134964E-3</v>
      </c>
      <c r="AC70" s="7"/>
    </row>
    <row r="71" spans="1:29" x14ac:dyDescent="0.25">
      <c r="A71" s="7"/>
      <c r="B71" s="4">
        <v>0.23007446069734158</v>
      </c>
      <c r="C71" s="1" t="s">
        <v>14</v>
      </c>
      <c r="D71" s="4">
        <v>1.0236595374775741E-2</v>
      </c>
      <c r="E71" s="4">
        <v>1.6267909867592127E-2</v>
      </c>
      <c r="F71" s="4">
        <v>3.4176965781349644E-3</v>
      </c>
      <c r="G71" s="4">
        <v>5.4313741876405534E-3</v>
      </c>
      <c r="H71" s="4">
        <v>1.0236595374775741E-2</v>
      </c>
      <c r="I71" s="4">
        <v>1.6267909867592127E-2</v>
      </c>
      <c r="J71" s="4">
        <v>3.4176965781349644E-3</v>
      </c>
      <c r="K71" s="4">
        <v>5.4313741876405534E-3</v>
      </c>
      <c r="AC71" s="7"/>
    </row>
    <row r="72" spans="1:29" x14ac:dyDescent="0.25">
      <c r="A72" s="7"/>
      <c r="B72" s="4">
        <v>4.8335938878541283E-2</v>
      </c>
      <c r="C72" s="1" t="s">
        <v>15</v>
      </c>
      <c r="D72" s="4">
        <v>2.1505883219711738E-3</v>
      </c>
      <c r="E72" s="4">
        <v>3.4176965781349644E-3</v>
      </c>
      <c r="F72" s="4">
        <v>7.1801786432717314E-4</v>
      </c>
      <c r="G72" s="4">
        <v>1.1410678524012032E-3</v>
      </c>
      <c r="H72" s="4">
        <v>2.1505883219711738E-3</v>
      </c>
      <c r="I72" s="4">
        <v>3.4176965781349644E-3</v>
      </c>
      <c r="J72" s="4">
        <v>7.1801786432717314E-4</v>
      </c>
      <c r="K72" s="4">
        <v>1.1410678524012032E-3</v>
      </c>
      <c r="AC72" s="7"/>
    </row>
    <row r="73" spans="1:29" x14ac:dyDescent="0.25">
      <c r="A73" s="7"/>
      <c r="B73" s="4">
        <v>7.681506089213555E-2</v>
      </c>
      <c r="C73" s="1" t="s">
        <v>16</v>
      </c>
      <c r="D73" s="4">
        <v>3.4176965781349644E-3</v>
      </c>
      <c r="E73" s="4">
        <v>5.4313741876405534E-3</v>
      </c>
      <c r="F73" s="4">
        <v>1.1410678524012034E-3</v>
      </c>
      <c r="G73" s="4">
        <v>1.8133752772343369E-3</v>
      </c>
      <c r="H73" s="4">
        <v>3.4176965781349644E-3</v>
      </c>
      <c r="I73" s="4">
        <v>5.4313741876405534E-3</v>
      </c>
      <c r="J73" s="4">
        <v>1.1410678524012034E-3</v>
      </c>
      <c r="K73" s="4">
        <v>1.8133752772343369E-3</v>
      </c>
      <c r="AC73" s="7"/>
    </row>
    <row r="74" spans="1:29" x14ac:dyDescent="0.25">
      <c r="A74" s="7"/>
      <c r="B74" s="4">
        <v>0.14477453953198158</v>
      </c>
      <c r="C74" s="1" t="s">
        <v>17</v>
      </c>
      <c r="D74" s="4">
        <v>6.4413858768440618E-3</v>
      </c>
      <c r="E74" s="4">
        <v>1.0236595374775741E-2</v>
      </c>
      <c r="F74" s="4">
        <v>2.1505883219711738E-3</v>
      </c>
      <c r="G74" s="4">
        <v>3.417696578134964E-3</v>
      </c>
      <c r="H74" s="4">
        <v>6.4413858768440618E-3</v>
      </c>
      <c r="I74" s="4">
        <v>1.0236595374775741E-2</v>
      </c>
      <c r="J74" s="4">
        <v>2.1505883219711738E-3</v>
      </c>
      <c r="K74" s="4">
        <v>3.417696578134964E-3</v>
      </c>
      <c r="AC74" s="7"/>
    </row>
    <row r="75" spans="1:29" x14ac:dyDescent="0.25">
      <c r="A75" s="7"/>
      <c r="B75" s="4">
        <v>0.23007446069734158</v>
      </c>
      <c r="C75" s="1" t="s">
        <v>18</v>
      </c>
      <c r="D75" s="4">
        <v>1.0236595374775741E-2</v>
      </c>
      <c r="E75" s="4">
        <v>1.6267909867592127E-2</v>
      </c>
      <c r="F75" s="4">
        <v>3.4176965781349644E-3</v>
      </c>
      <c r="G75" s="4">
        <v>5.4313741876405534E-3</v>
      </c>
      <c r="H75" s="4">
        <v>1.0236595374775741E-2</v>
      </c>
      <c r="I75" s="4">
        <v>1.6267909867592127E-2</v>
      </c>
      <c r="J75" s="4">
        <v>3.4176965781349644E-3</v>
      </c>
      <c r="K75" s="4">
        <v>5.4313741876405534E-3</v>
      </c>
      <c r="AC75" s="7"/>
    </row>
    <row r="76" spans="1:29" x14ac:dyDescent="0.25">
      <c r="A76" s="7"/>
      <c r="B76" s="4">
        <v>4.8335938878541283E-2</v>
      </c>
      <c r="C76" s="1" t="s">
        <v>19</v>
      </c>
      <c r="D76" s="4">
        <v>2.1505883219711738E-3</v>
      </c>
      <c r="E76" s="4">
        <v>3.4176965781349644E-3</v>
      </c>
      <c r="F76" s="4">
        <v>7.1801786432717314E-4</v>
      </c>
      <c r="G76" s="4">
        <v>1.1410678524012032E-3</v>
      </c>
      <c r="H76" s="4">
        <v>2.1505883219711738E-3</v>
      </c>
      <c r="I76" s="4">
        <v>3.4176965781349644E-3</v>
      </c>
      <c r="J76" s="4">
        <v>7.1801786432717314E-4</v>
      </c>
      <c r="K76" s="4">
        <v>1.1410678524012032E-3</v>
      </c>
      <c r="AC76" s="7"/>
    </row>
    <row r="77" spans="1:29" x14ac:dyDescent="0.25">
      <c r="A77" s="7"/>
      <c r="B77" s="4">
        <v>7.681506089213555E-2</v>
      </c>
      <c r="C77" s="1" t="s">
        <v>20</v>
      </c>
      <c r="D77" s="4">
        <v>3.4176965781349644E-3</v>
      </c>
      <c r="E77" s="4">
        <v>5.4313741876405534E-3</v>
      </c>
      <c r="F77" s="4">
        <v>1.1410678524012034E-3</v>
      </c>
      <c r="G77" s="4">
        <v>1.8133752772343369E-3</v>
      </c>
      <c r="H77" s="4">
        <v>3.4176965781349644E-3</v>
      </c>
      <c r="I77" s="4">
        <v>5.4313741876405534E-3</v>
      </c>
      <c r="J77" s="4">
        <v>1.1410678524012034E-3</v>
      </c>
      <c r="K77" s="4">
        <v>1.8133752772343369E-3</v>
      </c>
      <c r="AC77" s="7"/>
    </row>
    <row r="78" spans="1:29" x14ac:dyDescent="0.25">
      <c r="A78" s="7"/>
      <c r="AC78" s="7"/>
    </row>
    <row r="79" spans="1:29" x14ac:dyDescent="0.25">
      <c r="A79" s="7"/>
      <c r="C79" s="1" t="s">
        <v>31</v>
      </c>
      <c r="D79" s="4">
        <v>3.0236117128669719E-3</v>
      </c>
      <c r="E79" s="4">
        <v>1.90261010338589E-3</v>
      </c>
      <c r="F79" s="4">
        <v>9.0562426966357586E-3</v>
      </c>
      <c r="G79" s="4">
        <v>5.6986480043087311E-3</v>
      </c>
      <c r="H79" s="4">
        <v>3.0236117128669719E-3</v>
      </c>
      <c r="I79" s="4">
        <v>1.90261010338589E-3</v>
      </c>
      <c r="J79" s="4">
        <v>9.0562426966357586E-3</v>
      </c>
      <c r="K79" s="4">
        <v>5.6986480043087311E-3</v>
      </c>
      <c r="AC79" s="7"/>
    </row>
    <row r="80" spans="1:29" x14ac:dyDescent="0.25">
      <c r="A80" s="7"/>
      <c r="C80" s="1"/>
      <c r="D80" s="1" t="s">
        <v>13</v>
      </c>
      <c r="E80" s="1" t="s">
        <v>14</v>
      </c>
      <c r="F80" s="1" t="s">
        <v>15</v>
      </c>
      <c r="G80" s="1" t="s">
        <v>16</v>
      </c>
      <c r="H80" s="1" t="s">
        <v>17</v>
      </c>
      <c r="I80" s="1" t="s">
        <v>18</v>
      </c>
      <c r="J80" s="1" t="s">
        <v>19</v>
      </c>
      <c r="K80" s="1" t="s">
        <v>20</v>
      </c>
      <c r="L80" s="1"/>
      <c r="AC80" s="7"/>
    </row>
    <row r="81" spans="1:29" x14ac:dyDescent="0.25">
      <c r="A81" s="7"/>
      <c r="B81" s="4">
        <v>7.681506089213555E-2</v>
      </c>
      <c r="C81" s="1" t="s">
        <v>13</v>
      </c>
      <c r="D81" s="4">
        <v>2.322589178380507E-4</v>
      </c>
      <c r="E81" s="4">
        <v>1.4614911094557945E-4</v>
      </c>
      <c r="F81" s="4">
        <v>6.9565583419603364E-4</v>
      </c>
      <c r="G81" s="4">
        <v>4.3774199345382193E-4</v>
      </c>
      <c r="H81" s="4">
        <v>2.322589178380507E-4</v>
      </c>
      <c r="I81" s="4">
        <v>1.4614911094557945E-4</v>
      </c>
      <c r="J81" s="4">
        <v>6.9565583419603364E-4</v>
      </c>
      <c r="K81" s="4">
        <v>4.3774199345382193E-4</v>
      </c>
      <c r="AC81" s="7"/>
    </row>
    <row r="82" spans="1:29" x14ac:dyDescent="0.25">
      <c r="A82" s="7"/>
      <c r="B82" s="4">
        <v>4.8335938878541283E-2</v>
      </c>
      <c r="C82" s="1" t="s">
        <v>14</v>
      </c>
      <c r="D82" s="4">
        <v>1.4614911094557948E-4</v>
      </c>
      <c r="E82" s="4">
        <v>9.1964445666955491E-5</v>
      </c>
      <c r="F82" s="4">
        <v>4.3774199345382193E-4</v>
      </c>
      <c r="G82" s="4">
        <v>2.7544950162658807E-4</v>
      </c>
      <c r="H82" s="4">
        <v>1.4614911094557948E-4</v>
      </c>
      <c r="I82" s="4">
        <v>9.1964445666955491E-5</v>
      </c>
      <c r="J82" s="4">
        <v>4.3774199345382193E-4</v>
      </c>
      <c r="K82" s="4">
        <v>2.7544950162658807E-4</v>
      </c>
      <c r="AC82" s="7"/>
    </row>
    <row r="83" spans="1:29" x14ac:dyDescent="0.25">
      <c r="A83" s="7"/>
      <c r="B83" s="4">
        <v>0.23007446069734158</v>
      </c>
      <c r="C83" s="1" t="s">
        <v>15</v>
      </c>
      <c r="D83" s="4">
        <v>6.9565583419603375E-4</v>
      </c>
      <c r="E83" s="4">
        <v>4.3774199345382198E-4</v>
      </c>
      <c r="F83" s="4">
        <v>2.0836101543727104E-3</v>
      </c>
      <c r="G83" s="4">
        <v>1.3111133662953131E-3</v>
      </c>
      <c r="H83" s="4">
        <v>6.9565583419603375E-4</v>
      </c>
      <c r="I83" s="4">
        <v>4.3774199345382198E-4</v>
      </c>
      <c r="J83" s="4">
        <v>2.0836101543727104E-3</v>
      </c>
      <c r="K83" s="4">
        <v>1.3111133662953131E-3</v>
      </c>
      <c r="AC83" s="7"/>
    </row>
    <row r="84" spans="1:29" x14ac:dyDescent="0.25">
      <c r="A84" s="7"/>
      <c r="B84" s="4">
        <v>0.14477453953198158</v>
      </c>
      <c r="C84" s="1" t="s">
        <v>16</v>
      </c>
      <c r="D84" s="4">
        <v>4.3774199345382193E-4</v>
      </c>
      <c r="E84" s="4">
        <v>2.7544950162658807E-4</v>
      </c>
      <c r="F84" s="4">
        <v>1.3111133662953131E-3</v>
      </c>
      <c r="G84" s="4">
        <v>8.2501914077864229E-4</v>
      </c>
      <c r="H84" s="4">
        <v>4.3774199345382193E-4</v>
      </c>
      <c r="I84" s="4">
        <v>2.7544950162658807E-4</v>
      </c>
      <c r="J84" s="4">
        <v>1.3111133662953131E-3</v>
      </c>
      <c r="K84" s="4">
        <v>8.2501914077864229E-4</v>
      </c>
      <c r="AC84" s="7"/>
    </row>
    <row r="85" spans="1:29" x14ac:dyDescent="0.25">
      <c r="A85" s="7"/>
      <c r="B85" s="4">
        <v>7.681506089213555E-2</v>
      </c>
      <c r="C85" s="1" t="s">
        <v>17</v>
      </c>
      <c r="D85" s="4">
        <v>2.322589178380507E-4</v>
      </c>
      <c r="E85" s="4">
        <v>1.4614911094557945E-4</v>
      </c>
      <c r="F85" s="4">
        <v>6.9565583419603364E-4</v>
      </c>
      <c r="G85" s="4">
        <v>4.3774199345382193E-4</v>
      </c>
      <c r="H85" s="4">
        <v>2.322589178380507E-4</v>
      </c>
      <c r="I85" s="4">
        <v>1.4614911094557945E-4</v>
      </c>
      <c r="J85" s="4">
        <v>6.9565583419603364E-4</v>
      </c>
      <c r="K85" s="4">
        <v>4.3774199345382193E-4</v>
      </c>
      <c r="AC85" s="7"/>
    </row>
    <row r="86" spans="1:29" x14ac:dyDescent="0.25">
      <c r="A86" s="7"/>
      <c r="B86" s="4">
        <v>4.8335938878541283E-2</v>
      </c>
      <c r="C86" s="1" t="s">
        <v>18</v>
      </c>
      <c r="D86" s="4">
        <v>1.4614911094557948E-4</v>
      </c>
      <c r="E86" s="4">
        <v>9.1964445666955491E-5</v>
      </c>
      <c r="F86" s="4">
        <v>4.3774199345382193E-4</v>
      </c>
      <c r="G86" s="4">
        <v>2.7544950162658807E-4</v>
      </c>
      <c r="H86" s="4">
        <v>1.4614911094557948E-4</v>
      </c>
      <c r="I86" s="4">
        <v>9.1964445666955491E-5</v>
      </c>
      <c r="J86" s="4">
        <v>4.3774199345382193E-4</v>
      </c>
      <c r="K86" s="4">
        <v>2.7544950162658807E-4</v>
      </c>
      <c r="AC86" s="7"/>
    </row>
    <row r="87" spans="1:29" x14ac:dyDescent="0.25">
      <c r="A87" s="7"/>
      <c r="B87" s="4">
        <v>0.23007446069734158</v>
      </c>
      <c r="C87" s="1" t="s">
        <v>19</v>
      </c>
      <c r="D87" s="4">
        <v>6.9565583419603375E-4</v>
      </c>
      <c r="E87" s="4">
        <v>4.3774199345382198E-4</v>
      </c>
      <c r="F87" s="4">
        <v>2.0836101543727104E-3</v>
      </c>
      <c r="G87" s="4">
        <v>1.3111133662953131E-3</v>
      </c>
      <c r="H87" s="4">
        <v>6.9565583419603375E-4</v>
      </c>
      <c r="I87" s="4">
        <v>4.3774199345382198E-4</v>
      </c>
      <c r="J87" s="4">
        <v>2.0836101543727104E-3</v>
      </c>
      <c r="K87" s="4">
        <v>1.3111133662953131E-3</v>
      </c>
      <c r="AC87" s="7"/>
    </row>
    <row r="88" spans="1:29" x14ac:dyDescent="0.25">
      <c r="A88" s="7"/>
      <c r="B88" s="4">
        <v>0.14477453953198158</v>
      </c>
      <c r="C88" s="1" t="s">
        <v>20</v>
      </c>
      <c r="D88" s="4">
        <v>4.3774199345382193E-4</v>
      </c>
      <c r="E88" s="4">
        <v>2.7544950162658807E-4</v>
      </c>
      <c r="F88" s="4">
        <v>1.3111133662953131E-3</v>
      </c>
      <c r="G88" s="4">
        <v>8.2501914077864229E-4</v>
      </c>
      <c r="H88" s="4">
        <v>4.3774199345382193E-4</v>
      </c>
      <c r="I88" s="4">
        <v>2.7544950162658807E-4</v>
      </c>
      <c r="J88" s="4">
        <v>1.3111133662953131E-3</v>
      </c>
      <c r="K88" s="4">
        <v>8.2501914077864229E-4</v>
      </c>
      <c r="AC88" s="7"/>
    </row>
    <row r="89" spans="1:29" x14ac:dyDescent="0.25">
      <c r="A89" s="7"/>
      <c r="AC89" s="7"/>
    </row>
    <row r="90" spans="1:29" x14ac:dyDescent="0.25">
      <c r="A90" s="7"/>
      <c r="C90" s="1" t="s">
        <v>32</v>
      </c>
      <c r="D90" s="4">
        <v>0</v>
      </c>
      <c r="E90" s="4">
        <v>0</v>
      </c>
      <c r="F90" s="4">
        <v>0</v>
      </c>
      <c r="G90" s="4">
        <v>0</v>
      </c>
      <c r="H90" s="4">
        <v>0</v>
      </c>
      <c r="I90" s="4">
        <v>0</v>
      </c>
      <c r="J90" s="4">
        <v>0</v>
      </c>
      <c r="K90" s="4">
        <v>0</v>
      </c>
      <c r="AC90" s="7"/>
    </row>
    <row r="91" spans="1:29" x14ac:dyDescent="0.25">
      <c r="A91" s="7"/>
      <c r="C91" s="1"/>
      <c r="D91" s="1" t="s">
        <v>13</v>
      </c>
      <c r="E91" s="1" t="s">
        <v>14</v>
      </c>
      <c r="F91" s="1" t="s">
        <v>15</v>
      </c>
      <c r="G91" s="1" t="s">
        <v>16</v>
      </c>
      <c r="H91" s="1" t="s">
        <v>17</v>
      </c>
      <c r="I91" s="1" t="s">
        <v>18</v>
      </c>
      <c r="J91" s="1" t="s">
        <v>19</v>
      </c>
      <c r="K91" s="1" t="s">
        <v>20</v>
      </c>
      <c r="AC91" s="7"/>
    </row>
    <row r="92" spans="1:29" x14ac:dyDescent="0.25">
      <c r="A92" s="7"/>
      <c r="B92" s="4">
        <v>4.8335938878541283E-2</v>
      </c>
      <c r="C92" s="1" t="s">
        <v>13</v>
      </c>
      <c r="D92" s="4">
        <v>0</v>
      </c>
      <c r="E92" s="4">
        <v>0</v>
      </c>
      <c r="F92" s="4">
        <v>0</v>
      </c>
      <c r="G92" s="4">
        <v>0</v>
      </c>
      <c r="H92" s="4">
        <v>0</v>
      </c>
      <c r="I92" s="4">
        <v>0</v>
      </c>
      <c r="J92" s="4">
        <v>0</v>
      </c>
      <c r="K92" s="4">
        <v>0</v>
      </c>
      <c r="AC92" s="7"/>
    </row>
    <row r="93" spans="1:29" x14ac:dyDescent="0.25">
      <c r="A93" s="7"/>
      <c r="B93" s="4">
        <v>7.681506089213555E-2</v>
      </c>
      <c r="C93" s="1" t="s">
        <v>14</v>
      </c>
      <c r="D93" s="4">
        <v>0</v>
      </c>
      <c r="E93" s="4">
        <v>0</v>
      </c>
      <c r="F93" s="4">
        <v>0</v>
      </c>
      <c r="G93" s="4">
        <v>0</v>
      </c>
      <c r="H93" s="4">
        <v>0</v>
      </c>
      <c r="I93" s="4">
        <v>0</v>
      </c>
      <c r="J93" s="4">
        <v>0</v>
      </c>
      <c r="K93" s="4">
        <v>0</v>
      </c>
      <c r="AC93" s="7"/>
    </row>
    <row r="94" spans="1:29" x14ac:dyDescent="0.25">
      <c r="A94" s="7"/>
      <c r="B94" s="4">
        <v>0.14477453953198158</v>
      </c>
      <c r="C94" s="1" t="s">
        <v>15</v>
      </c>
      <c r="D94" s="4">
        <v>0</v>
      </c>
      <c r="E94" s="4">
        <v>0</v>
      </c>
      <c r="F94" s="4">
        <v>0</v>
      </c>
      <c r="G94" s="4">
        <v>0</v>
      </c>
      <c r="H94" s="4">
        <v>0</v>
      </c>
      <c r="I94" s="4">
        <v>0</v>
      </c>
      <c r="J94" s="4">
        <v>0</v>
      </c>
      <c r="K94" s="4">
        <v>0</v>
      </c>
      <c r="AC94" s="7"/>
    </row>
    <row r="95" spans="1:29" x14ac:dyDescent="0.25">
      <c r="A95" s="7"/>
      <c r="B95" s="4">
        <v>0.23007446069734158</v>
      </c>
      <c r="C95" s="1" t="s">
        <v>16</v>
      </c>
      <c r="D95" s="4">
        <v>0</v>
      </c>
      <c r="E95" s="4">
        <v>0</v>
      </c>
      <c r="F95" s="4">
        <v>0</v>
      </c>
      <c r="G95" s="4">
        <v>0</v>
      </c>
      <c r="H95" s="4">
        <v>0</v>
      </c>
      <c r="I95" s="4">
        <v>0</v>
      </c>
      <c r="J95" s="4">
        <v>0</v>
      </c>
      <c r="K95" s="4">
        <v>0</v>
      </c>
      <c r="AC95" s="7"/>
    </row>
    <row r="96" spans="1:29" x14ac:dyDescent="0.25">
      <c r="A96" s="7"/>
      <c r="B96" s="4">
        <v>4.8335938878541283E-2</v>
      </c>
      <c r="C96" s="1" t="s">
        <v>17</v>
      </c>
      <c r="D96" s="4">
        <v>0</v>
      </c>
      <c r="E96" s="4">
        <v>0</v>
      </c>
      <c r="F96" s="4">
        <v>0</v>
      </c>
      <c r="G96" s="4">
        <v>0</v>
      </c>
      <c r="H96" s="4">
        <v>0</v>
      </c>
      <c r="I96" s="4">
        <v>0</v>
      </c>
      <c r="J96" s="4">
        <v>0</v>
      </c>
      <c r="K96" s="4">
        <v>0</v>
      </c>
      <c r="AC96" s="7"/>
    </row>
    <row r="97" spans="1:29" x14ac:dyDescent="0.25">
      <c r="A97" s="7"/>
      <c r="B97" s="4">
        <v>7.681506089213555E-2</v>
      </c>
      <c r="C97" s="1" t="s">
        <v>18</v>
      </c>
      <c r="D97" s="4">
        <v>0</v>
      </c>
      <c r="E97" s="4">
        <v>0</v>
      </c>
      <c r="F97" s="4">
        <v>0</v>
      </c>
      <c r="G97" s="4">
        <v>0</v>
      </c>
      <c r="H97" s="4">
        <v>0</v>
      </c>
      <c r="I97" s="4">
        <v>0</v>
      </c>
      <c r="J97" s="4">
        <v>0</v>
      </c>
      <c r="K97" s="4">
        <v>0</v>
      </c>
      <c r="AC97" s="7"/>
    </row>
    <row r="98" spans="1:29" x14ac:dyDescent="0.25">
      <c r="A98" s="7"/>
      <c r="B98" s="4">
        <v>0.14477453953198158</v>
      </c>
      <c r="C98" s="1" t="s">
        <v>19</v>
      </c>
      <c r="D98" s="4">
        <v>0</v>
      </c>
      <c r="E98" s="4">
        <v>0</v>
      </c>
      <c r="F98" s="4">
        <v>0</v>
      </c>
      <c r="G98" s="4">
        <v>0</v>
      </c>
      <c r="H98" s="4">
        <v>0</v>
      </c>
      <c r="I98" s="4">
        <v>0</v>
      </c>
      <c r="J98" s="4">
        <v>0</v>
      </c>
      <c r="K98" s="4">
        <v>0</v>
      </c>
      <c r="AC98" s="7"/>
    </row>
    <row r="99" spans="1:29" x14ac:dyDescent="0.25">
      <c r="A99" s="7"/>
      <c r="B99" s="4">
        <v>0.23007446069734158</v>
      </c>
      <c r="C99" s="1" t="s">
        <v>20</v>
      </c>
      <c r="D99" s="4">
        <v>0</v>
      </c>
      <c r="E99" s="4">
        <v>0</v>
      </c>
      <c r="F99" s="4">
        <v>0</v>
      </c>
      <c r="G99" s="4">
        <v>0</v>
      </c>
      <c r="H99" s="4">
        <v>0</v>
      </c>
      <c r="I99" s="4">
        <v>0</v>
      </c>
      <c r="J99" s="4">
        <v>0</v>
      </c>
      <c r="K99" s="4">
        <v>0</v>
      </c>
      <c r="AC99" s="7"/>
    </row>
    <row r="100" spans="1:29" x14ac:dyDescent="0.25">
      <c r="A100" s="7"/>
      <c r="AC100" s="7"/>
    </row>
    <row r="101" spans="1:29" x14ac:dyDescent="0.25">
      <c r="A101" s="7"/>
      <c r="C101" s="1" t="s">
        <v>33</v>
      </c>
      <c r="AC101" s="7"/>
    </row>
    <row r="102" spans="1:29" x14ac:dyDescent="0.25">
      <c r="A102" s="7"/>
      <c r="C102" s="1"/>
      <c r="D102" s="1" t="s">
        <v>13</v>
      </c>
      <c r="E102" s="1" t="s">
        <v>14</v>
      </c>
      <c r="F102" s="1" t="s">
        <v>15</v>
      </c>
      <c r="G102" s="1" t="s">
        <v>16</v>
      </c>
      <c r="H102" s="1" t="s">
        <v>17</v>
      </c>
      <c r="I102" s="1" t="s">
        <v>18</v>
      </c>
      <c r="J102" s="1" t="s">
        <v>19</v>
      </c>
      <c r="K102" s="1" t="s">
        <v>20</v>
      </c>
      <c r="AC102" s="7"/>
    </row>
    <row r="103" spans="1:29" x14ac:dyDescent="0.25">
      <c r="A103" s="7"/>
      <c r="C103" s="1" t="s">
        <v>13</v>
      </c>
      <c r="D103" s="4">
        <v>8.200026598396519E-3</v>
      </c>
      <c r="E103" s="4">
        <v>1.2808457400734594E-2</v>
      </c>
      <c r="F103" s="4">
        <v>7.418023000435257E-3</v>
      </c>
      <c r="G103" s="4">
        <v>1.1120870431519703E-2</v>
      </c>
      <c r="H103" s="4">
        <v>8.200026598396519E-3</v>
      </c>
      <c r="I103" s="4">
        <v>1.2808457400734594E-2</v>
      </c>
      <c r="J103" s="4">
        <v>7.418023000435257E-3</v>
      </c>
      <c r="K103" s="4">
        <v>1.1120870431519703E-2</v>
      </c>
      <c r="L103" s="7">
        <v>7.9094754862172142E-2</v>
      </c>
      <c r="AC103" s="7"/>
    </row>
    <row r="104" spans="1:29" x14ac:dyDescent="0.25">
      <c r="A104" s="7"/>
      <c r="C104" s="1" t="s">
        <v>14</v>
      </c>
      <c r="D104" s="4">
        <v>1.2808457400734594E-2</v>
      </c>
      <c r="E104" s="4">
        <v>2.0214796542902702E-2</v>
      </c>
      <c r="F104" s="4">
        <v>1.1120870431519703E-2</v>
      </c>
      <c r="G104" s="4">
        <v>1.7252985896452921E-2</v>
      </c>
      <c r="H104" s="4">
        <v>1.2808457400734594E-2</v>
      </c>
      <c r="I104" s="4">
        <v>2.0214796542902702E-2</v>
      </c>
      <c r="J104" s="4">
        <v>1.1120870431519703E-2</v>
      </c>
      <c r="K104" s="4">
        <v>1.7252985896452921E-2</v>
      </c>
      <c r="L104" s="7">
        <v>0.12279422054321984</v>
      </c>
      <c r="T104" s="6"/>
      <c r="AC104" s="7"/>
    </row>
    <row r="105" spans="1:29" x14ac:dyDescent="0.25">
      <c r="A105" s="7"/>
      <c r="C105" s="1" t="s">
        <v>15</v>
      </c>
      <c r="D105" s="4">
        <v>7.4180230004352588E-3</v>
      </c>
      <c r="E105" s="4">
        <v>1.1120870431519703E-2</v>
      </c>
      <c r="F105" s="4">
        <v>1.6494900403128562E-2</v>
      </c>
      <c r="G105" s="4">
        <v>2.4213412642494415E-2</v>
      </c>
      <c r="H105" s="4">
        <v>7.4180230004352588E-3</v>
      </c>
      <c r="I105" s="4">
        <v>1.1120870431519703E-2</v>
      </c>
      <c r="J105" s="4">
        <v>1.6494900403128562E-2</v>
      </c>
      <c r="K105" s="4">
        <v>2.4213412642494415E-2</v>
      </c>
      <c r="L105" s="7">
        <v>0.11849441295515589</v>
      </c>
      <c r="AC105" s="7"/>
    </row>
    <row r="106" spans="1:29" x14ac:dyDescent="0.25">
      <c r="A106" s="7"/>
      <c r="C106" s="1" t="s">
        <v>16</v>
      </c>
      <c r="D106" s="4">
        <v>1.1120870431519705E-2</v>
      </c>
      <c r="E106" s="4">
        <v>1.7252985896452921E-2</v>
      </c>
      <c r="F106" s="4">
        <v>2.4213412642494415E-2</v>
      </c>
      <c r="G106" s="4">
        <v>3.7221157382590277E-2</v>
      </c>
      <c r="H106" s="4">
        <v>1.1120870431519705E-2</v>
      </c>
      <c r="I106" s="4">
        <v>1.7252985896452921E-2</v>
      </c>
      <c r="J106" s="4">
        <v>2.4213412642494415E-2</v>
      </c>
      <c r="K106" s="4">
        <v>3.7221157382590277E-2</v>
      </c>
      <c r="L106" s="7">
        <v>0.17961685270611463</v>
      </c>
      <c r="AC106" s="7"/>
    </row>
    <row r="107" spans="1:29" x14ac:dyDescent="0.25">
      <c r="A107" s="7"/>
      <c r="C107" s="1" t="s">
        <v>17</v>
      </c>
      <c r="D107" s="4">
        <v>8.200026598396519E-3</v>
      </c>
      <c r="E107" s="4">
        <v>1.2808457400734594E-2</v>
      </c>
      <c r="F107" s="4">
        <v>7.418023000435257E-3</v>
      </c>
      <c r="G107" s="4">
        <v>1.1120870431519703E-2</v>
      </c>
      <c r="H107" s="4">
        <v>8.200026598396519E-3</v>
      </c>
      <c r="I107" s="4">
        <v>1.2808457400734594E-2</v>
      </c>
      <c r="J107" s="4">
        <v>7.418023000435257E-3</v>
      </c>
      <c r="K107" s="4">
        <v>1.1120870431519703E-2</v>
      </c>
      <c r="L107" s="7">
        <v>7.9094754862172142E-2</v>
      </c>
      <c r="AC107" s="7"/>
    </row>
    <row r="108" spans="1:29" x14ac:dyDescent="0.25">
      <c r="A108" s="7"/>
      <c r="C108" s="1" t="s">
        <v>18</v>
      </c>
      <c r="D108" s="4">
        <v>1.2808457400734594E-2</v>
      </c>
      <c r="E108" s="4">
        <v>2.0214796542902702E-2</v>
      </c>
      <c r="F108" s="4">
        <v>1.1120870431519703E-2</v>
      </c>
      <c r="G108" s="4">
        <v>1.7252985896452921E-2</v>
      </c>
      <c r="H108" s="4">
        <v>1.2808457400734594E-2</v>
      </c>
      <c r="I108" s="4">
        <v>2.0214796542902702E-2</v>
      </c>
      <c r="J108" s="4">
        <v>1.1120870431519703E-2</v>
      </c>
      <c r="K108" s="4">
        <v>1.7252985896452921E-2</v>
      </c>
      <c r="L108" s="7">
        <v>0.12279422054321984</v>
      </c>
      <c r="AC108" s="7"/>
    </row>
    <row r="109" spans="1:29" x14ac:dyDescent="0.25">
      <c r="A109" s="7"/>
      <c r="C109" s="1" t="s">
        <v>19</v>
      </c>
      <c r="D109" s="4">
        <v>7.4180230004352588E-3</v>
      </c>
      <c r="E109" s="4">
        <v>1.1120870431519703E-2</v>
      </c>
      <c r="F109" s="4">
        <v>1.6494900403128562E-2</v>
      </c>
      <c r="G109" s="4">
        <v>2.4213412642494415E-2</v>
      </c>
      <c r="H109" s="4">
        <v>7.4180230004352588E-3</v>
      </c>
      <c r="I109" s="4">
        <v>1.1120870431519703E-2</v>
      </c>
      <c r="J109" s="4">
        <v>1.6494900403128562E-2</v>
      </c>
      <c r="K109" s="4">
        <v>2.4213412642494415E-2</v>
      </c>
      <c r="L109" s="7">
        <v>0.11849441295515589</v>
      </c>
      <c r="AC109" s="7"/>
    </row>
    <row r="110" spans="1:29" x14ac:dyDescent="0.25">
      <c r="A110" s="7"/>
      <c r="C110" s="1" t="s">
        <v>20</v>
      </c>
      <c r="D110" s="4">
        <v>1.1120870431519705E-2</v>
      </c>
      <c r="E110" s="4">
        <v>1.7252985896452921E-2</v>
      </c>
      <c r="F110" s="4">
        <v>2.4213412642494415E-2</v>
      </c>
      <c r="G110" s="4">
        <v>3.7221157382590277E-2</v>
      </c>
      <c r="H110" s="4">
        <v>1.1120870431519705E-2</v>
      </c>
      <c r="I110" s="4">
        <v>1.7252985896452921E-2</v>
      </c>
      <c r="J110" s="4">
        <v>2.4213412642494415E-2</v>
      </c>
      <c r="K110" s="4">
        <v>3.7221157382590277E-2</v>
      </c>
      <c r="L110" s="7">
        <v>0.17961685270611463</v>
      </c>
      <c r="AC110" s="7"/>
    </row>
    <row r="111" spans="1:29" x14ac:dyDescent="0.25">
      <c r="A111" s="7"/>
      <c r="D111" s="3">
        <v>7.9094754862172142E-2</v>
      </c>
      <c r="E111" s="3">
        <v>0.12279422054321984</v>
      </c>
      <c r="F111" s="3">
        <v>0.11849441295515586</v>
      </c>
      <c r="G111" s="3">
        <v>0.17961685270611463</v>
      </c>
      <c r="H111" s="3">
        <v>7.9094754862172142E-2</v>
      </c>
      <c r="I111" s="3">
        <v>0.12279422054321984</v>
      </c>
      <c r="J111" s="3">
        <v>0.11849441295515586</v>
      </c>
      <c r="K111" s="3">
        <v>0.17961685270611463</v>
      </c>
      <c r="L111" s="7">
        <v>1.0000004821333248</v>
      </c>
      <c r="AC111" s="7"/>
    </row>
    <row r="112" spans="1:29" x14ac:dyDescent="0.25">
      <c r="A112" s="7"/>
      <c r="L112" s="7"/>
      <c r="M112" s="7"/>
      <c r="N112" s="7"/>
      <c r="O112" s="7"/>
      <c r="P112" s="7"/>
      <c r="Q112" s="7"/>
      <c r="R112" s="7"/>
      <c r="S112" s="7"/>
      <c r="T112" s="7"/>
      <c r="U112" s="7"/>
      <c r="V112" s="7"/>
      <c r="W112" s="7"/>
      <c r="X112" s="7"/>
      <c r="Y112" s="7"/>
      <c r="Z112" s="7"/>
      <c r="AA112" s="7"/>
      <c r="AB112" s="7"/>
      <c r="AC112" s="7"/>
    </row>
    <row r="113" spans="1:29" x14ac:dyDescent="0.25">
      <c r="A113" s="7"/>
      <c r="C113" s="1" t="s">
        <v>34</v>
      </c>
      <c r="N113" t="s">
        <v>36</v>
      </c>
      <c r="O113" s="8">
        <v>0.50000024106666241</v>
      </c>
      <c r="W113" t="s">
        <v>54</v>
      </c>
      <c r="Y113" t="s">
        <v>60</v>
      </c>
      <c r="AC113" s="7"/>
    </row>
    <row r="114" spans="1:29" x14ac:dyDescent="0.25">
      <c r="A114" s="7"/>
      <c r="C114" s="1"/>
      <c r="D114" s="1" t="s">
        <v>13</v>
      </c>
      <c r="E114" s="1" t="s">
        <v>14</v>
      </c>
      <c r="F114" s="1" t="s">
        <v>15</v>
      </c>
      <c r="G114" s="1" t="s">
        <v>16</v>
      </c>
      <c r="H114" s="1" t="s">
        <v>17</v>
      </c>
      <c r="I114" s="1" t="s">
        <v>18</v>
      </c>
      <c r="J114" s="1" t="s">
        <v>19</v>
      </c>
      <c r="K114" s="1" t="s">
        <v>20</v>
      </c>
      <c r="N114" t="s">
        <v>37</v>
      </c>
      <c r="O114" s="8">
        <v>0.59622253132254099</v>
      </c>
      <c r="R114" t="s">
        <v>58</v>
      </c>
      <c r="W114" s="1" t="s">
        <v>45</v>
      </c>
      <c r="X114" s="7" t="s">
        <v>47</v>
      </c>
      <c r="Y114" s="7" t="s">
        <v>48</v>
      </c>
      <c r="Z114" s="7" t="s">
        <v>49</v>
      </c>
      <c r="AA114" s="7" t="s">
        <v>50</v>
      </c>
      <c r="AB114" s="7"/>
      <c r="AC114" s="7"/>
    </row>
    <row r="115" spans="1:29" x14ac:dyDescent="0.25">
      <c r="A115" s="7"/>
      <c r="C115" s="1" t="s">
        <v>13</v>
      </c>
      <c r="D115" s="5">
        <v>0.82000265983965193</v>
      </c>
      <c r="E115" s="5">
        <v>1.2808457400734594</v>
      </c>
      <c r="F115" s="5">
        <v>0.74180230004352565</v>
      </c>
      <c r="G115" s="5">
        <v>1.1120870431519703</v>
      </c>
      <c r="H115" s="5">
        <v>0.82000265983965193</v>
      </c>
      <c r="I115" s="5">
        <v>1.2808457400734594</v>
      </c>
      <c r="J115" s="5">
        <v>0.74180230004352565</v>
      </c>
      <c r="K115" s="5">
        <v>1.1120870431519703</v>
      </c>
      <c r="L115" s="13">
        <v>7.9094754862172145</v>
      </c>
      <c r="N115" t="s">
        <v>38</v>
      </c>
      <c r="O115" s="8">
        <v>0.60482214649866906</v>
      </c>
      <c r="W115" s="1" t="s">
        <v>13</v>
      </c>
      <c r="X115" s="5">
        <v>7.9094754862172145</v>
      </c>
      <c r="Y115" s="5">
        <v>0.82000265983965193</v>
      </c>
      <c r="Z115" s="5">
        <v>7.0894728263775626</v>
      </c>
      <c r="AA115" s="8">
        <v>0.82000265983965193</v>
      </c>
      <c r="AB115" s="8">
        <v>0.16742444304164139</v>
      </c>
      <c r="AC115" s="7"/>
    </row>
    <row r="116" spans="1:29" x14ac:dyDescent="0.25">
      <c r="A116" s="7"/>
      <c r="C116" s="1" t="s">
        <v>14</v>
      </c>
      <c r="D116" s="5">
        <v>1.2808457400734594</v>
      </c>
      <c r="E116" s="5">
        <v>2.0214796542902702</v>
      </c>
      <c r="F116" s="5">
        <v>1.1120870431519703</v>
      </c>
      <c r="G116" s="5">
        <v>1.7252985896452921</v>
      </c>
      <c r="H116" s="5">
        <v>1.2808457400734594</v>
      </c>
      <c r="I116" s="5">
        <v>2.0214796542902702</v>
      </c>
      <c r="J116" s="5">
        <v>1.1120870431519703</v>
      </c>
      <c r="K116" s="5">
        <v>1.7252985896452921</v>
      </c>
      <c r="L116" s="13">
        <v>12.279422054321984</v>
      </c>
      <c r="M116" s="10" t="s">
        <v>39</v>
      </c>
      <c r="N116" s="10">
        <v>1</v>
      </c>
      <c r="O116" s="10">
        <v>2</v>
      </c>
      <c r="P116" s="10" t="s">
        <v>39</v>
      </c>
      <c r="Q116" s="10">
        <v>1</v>
      </c>
      <c r="R116" s="10">
        <v>2</v>
      </c>
      <c r="S116" s="10" t="s">
        <v>11</v>
      </c>
      <c r="T116" s="10" t="s">
        <v>42</v>
      </c>
      <c r="U116" s="10" t="s">
        <v>43</v>
      </c>
      <c r="V116" s="10"/>
      <c r="W116" s="1" t="s">
        <v>14</v>
      </c>
      <c r="X116" s="5">
        <v>12.279422054321984</v>
      </c>
      <c r="Y116" s="5">
        <v>2.0214796542902702</v>
      </c>
      <c r="Z116" s="5">
        <v>10.257942400031713</v>
      </c>
      <c r="AA116" s="8">
        <v>0.51616679985597425</v>
      </c>
      <c r="AB116" s="8">
        <v>0.15426281607826664</v>
      </c>
      <c r="AC116" s="7"/>
    </row>
    <row r="117" spans="1:29" x14ac:dyDescent="0.25">
      <c r="A117" s="7"/>
      <c r="C117" s="1" t="s">
        <v>15</v>
      </c>
      <c r="D117" s="5">
        <v>0.74180230004352588</v>
      </c>
      <c r="E117" s="5">
        <v>1.1120870431519703</v>
      </c>
      <c r="F117" s="5">
        <v>1.6494900403128561</v>
      </c>
      <c r="G117" s="5">
        <v>2.4213412642494414</v>
      </c>
      <c r="H117" s="5">
        <v>0.74180230004352588</v>
      </c>
      <c r="I117" s="5">
        <v>1.1120870431519703</v>
      </c>
      <c r="J117" s="5">
        <v>1.6494900403128561</v>
      </c>
      <c r="K117" s="5">
        <v>2.4213412642494414</v>
      </c>
      <c r="L117" s="13">
        <v>11.849441295515586</v>
      </c>
      <c r="M117" s="10">
        <v>1</v>
      </c>
      <c r="N117" s="5">
        <v>25.000012053333123</v>
      </c>
      <c r="O117" s="5">
        <v>25.000012053333123</v>
      </c>
      <c r="P117" s="10">
        <v>1</v>
      </c>
      <c r="Q117">
        <v>3.240007116290256</v>
      </c>
      <c r="R117">
        <v>4.0000944986672525E-2</v>
      </c>
      <c r="S117" s="12">
        <v>8.1599960658172108</v>
      </c>
      <c r="T117">
        <v>0.9957175535799434</v>
      </c>
      <c r="U117">
        <v>4.2824464200565959E-3</v>
      </c>
      <c r="W117" s="1" t="s">
        <v>15</v>
      </c>
      <c r="X117" s="5">
        <v>11.849441295515586</v>
      </c>
      <c r="Y117" s="5">
        <v>1.6494900403128561</v>
      </c>
      <c r="Z117" s="5">
        <v>10.19995125520273</v>
      </c>
      <c r="AA117" s="8">
        <v>0.2557380172999324</v>
      </c>
      <c r="AB117" s="8">
        <v>0.14116567607400687</v>
      </c>
      <c r="AC117" s="7"/>
    </row>
    <row r="118" spans="1:29" x14ac:dyDescent="0.25">
      <c r="A118" s="7"/>
      <c r="C118" s="1" t="s">
        <v>16</v>
      </c>
      <c r="D118" s="5">
        <v>1.1120870431519705</v>
      </c>
      <c r="E118" s="5">
        <v>1.7252985896452921</v>
      </c>
      <c r="F118" s="5">
        <v>2.4213412642494414</v>
      </c>
      <c r="G118" s="5">
        <v>3.7221157382590278</v>
      </c>
      <c r="H118" s="5">
        <v>1.1120870431519705</v>
      </c>
      <c r="I118" s="5">
        <v>1.7252985896452921</v>
      </c>
      <c r="J118" s="5">
        <v>2.4213412642494414</v>
      </c>
      <c r="K118" s="5">
        <v>3.7221157382590278</v>
      </c>
      <c r="L118" s="13">
        <v>17.961685270611465</v>
      </c>
      <c r="M118" s="10">
        <v>2</v>
      </c>
      <c r="N118" s="5">
        <v>25.000012053333123</v>
      </c>
      <c r="O118" s="5">
        <v>25.000012053333123</v>
      </c>
      <c r="P118" s="10">
        <v>2</v>
      </c>
      <c r="Q118">
        <v>4.0000944986672525E-2</v>
      </c>
      <c r="R118">
        <v>4.8399870595536099</v>
      </c>
      <c r="W118" s="1" t="s">
        <v>16</v>
      </c>
      <c r="X118" s="5">
        <v>17.961685270611465</v>
      </c>
      <c r="Y118" s="5">
        <v>3.7221157382590278</v>
      </c>
      <c r="Z118" s="5">
        <v>14.239569532352437</v>
      </c>
      <c r="AA118" s="8">
        <v>0.79677334733997185</v>
      </c>
      <c r="AB118" s="8">
        <v>0.3522347834213429</v>
      </c>
      <c r="AC118" s="7"/>
    </row>
    <row r="119" spans="1:29" x14ac:dyDescent="0.25">
      <c r="A119" s="7"/>
      <c r="C119" s="1" t="s">
        <v>17</v>
      </c>
      <c r="D119" s="5">
        <v>0.82000265983965193</v>
      </c>
      <c r="E119" s="5">
        <v>1.2808457400734594</v>
      </c>
      <c r="F119" s="5">
        <v>0.74180230004352565</v>
      </c>
      <c r="G119" s="5">
        <v>1.1120870431519703</v>
      </c>
      <c r="H119" s="5">
        <v>0.82000265983965193</v>
      </c>
      <c r="I119" s="5">
        <v>1.2808457400734594</v>
      </c>
      <c r="J119" s="5">
        <v>0.74180230004352565</v>
      </c>
      <c r="K119" s="5">
        <v>1.1120870431519703</v>
      </c>
      <c r="L119" s="13">
        <v>7.9094754862172145</v>
      </c>
      <c r="M119" s="10" t="s">
        <v>40</v>
      </c>
      <c r="N119" s="10">
        <v>1</v>
      </c>
      <c r="O119" s="10">
        <v>2</v>
      </c>
      <c r="P119" s="10" t="s">
        <v>40</v>
      </c>
      <c r="Q119" s="10">
        <v>1</v>
      </c>
      <c r="R119" s="10">
        <v>2</v>
      </c>
      <c r="S119" s="10" t="s">
        <v>11</v>
      </c>
      <c r="T119" s="10" t="s">
        <v>42</v>
      </c>
      <c r="U119" s="10" t="s">
        <v>43</v>
      </c>
      <c r="W119" s="1" t="s">
        <v>17</v>
      </c>
      <c r="X119" s="5">
        <v>7.9094754862172145</v>
      </c>
      <c r="Y119" s="5">
        <v>0.82000265983965193</v>
      </c>
      <c r="Z119" s="5">
        <v>7.0894728263775626</v>
      </c>
      <c r="AA119" s="8">
        <v>3.9510899234321446E-2</v>
      </c>
      <c r="AB119" s="8">
        <v>0.51486396387173994</v>
      </c>
      <c r="AC119" s="7"/>
    </row>
    <row r="120" spans="1:29" x14ac:dyDescent="0.25">
      <c r="A120" s="7"/>
      <c r="C120" s="1" t="s">
        <v>18</v>
      </c>
      <c r="D120" s="5">
        <v>1.2808457400734594</v>
      </c>
      <c r="E120" s="5">
        <v>2.0214796542902702</v>
      </c>
      <c r="F120" s="5">
        <v>1.1120870431519703</v>
      </c>
      <c r="G120" s="5">
        <v>1.7252985896452921</v>
      </c>
      <c r="H120" s="5">
        <v>1.2808457400734594</v>
      </c>
      <c r="I120" s="5">
        <v>2.0214796542902702</v>
      </c>
      <c r="J120" s="5">
        <v>1.1120870431519703</v>
      </c>
      <c r="K120" s="5">
        <v>1.7252985896452921</v>
      </c>
      <c r="L120" s="13">
        <v>12.279422054321984</v>
      </c>
      <c r="M120" s="10">
        <v>1</v>
      </c>
      <c r="N120" s="5">
        <v>21.612695177107366</v>
      </c>
      <c r="O120" s="5">
        <v>18.765099903971031</v>
      </c>
      <c r="P120" s="10">
        <v>1</v>
      </c>
      <c r="Q120">
        <v>0.98446568660472134</v>
      </c>
      <c r="R120">
        <v>0.95573052715541029</v>
      </c>
      <c r="S120" s="12">
        <v>3.2600644708089588</v>
      </c>
      <c r="T120">
        <v>0.92901366457125201</v>
      </c>
      <c r="U120">
        <v>7.0986335428747993E-2</v>
      </c>
      <c r="W120" s="1" t="s">
        <v>18</v>
      </c>
      <c r="X120" s="5">
        <v>12.279422054321984</v>
      </c>
      <c r="Y120" s="5">
        <v>2.0214796542902702</v>
      </c>
      <c r="Z120" s="5">
        <v>10.257942400031713</v>
      </c>
      <c r="AA120" s="8">
        <v>0.47366396438160668</v>
      </c>
      <c r="AB120" s="8">
        <v>5.368030548397236E-2</v>
      </c>
      <c r="AC120" s="7"/>
    </row>
    <row r="121" spans="1:29" x14ac:dyDescent="0.25">
      <c r="A121" s="7"/>
      <c r="C121" s="1" t="s">
        <v>19</v>
      </c>
      <c r="D121" s="5">
        <v>0.74180230004352588</v>
      </c>
      <c r="E121" s="5">
        <v>1.1120870431519703</v>
      </c>
      <c r="F121" s="5">
        <v>1.6494900403128561</v>
      </c>
      <c r="G121" s="5">
        <v>2.4213412642494414</v>
      </c>
      <c r="H121" s="5">
        <v>0.74180230004352588</v>
      </c>
      <c r="I121" s="5">
        <v>1.1120870431519703</v>
      </c>
      <c r="J121" s="5">
        <v>1.6494900403128561</v>
      </c>
      <c r="K121" s="5">
        <v>2.4213412642494414</v>
      </c>
      <c r="L121" s="13">
        <v>11.849441295515586</v>
      </c>
      <c r="M121" s="10">
        <v>2</v>
      </c>
      <c r="N121" s="5">
        <v>18.765099903971031</v>
      </c>
      <c r="O121" s="5">
        <v>40.857153228283067</v>
      </c>
      <c r="P121" s="10">
        <v>2</v>
      </c>
      <c r="Q121">
        <v>0.95573052715541029</v>
      </c>
      <c r="R121">
        <v>0.36413772989341697</v>
      </c>
      <c r="W121" s="1" t="s">
        <v>19</v>
      </c>
      <c r="X121" s="5">
        <v>11.849441295515586</v>
      </c>
      <c r="Y121" s="5">
        <v>1.6494900403128561</v>
      </c>
      <c r="Z121" s="5">
        <v>10.19995125520273</v>
      </c>
      <c r="AA121" s="8">
        <v>7.448194826116146E-2</v>
      </c>
      <c r="AB121" s="8">
        <v>0.31766578119611072</v>
      </c>
      <c r="AC121" s="7"/>
    </row>
    <row r="122" spans="1:29" x14ac:dyDescent="0.25">
      <c r="A122" s="7"/>
      <c r="C122" s="1" t="s">
        <v>20</v>
      </c>
      <c r="D122" s="5">
        <v>1.1120870431519705</v>
      </c>
      <c r="E122" s="5">
        <v>1.7252985896452921</v>
      </c>
      <c r="F122" s="5">
        <v>2.4213412642494414</v>
      </c>
      <c r="G122" s="5">
        <v>3.7221157382590278</v>
      </c>
      <c r="H122" s="5">
        <v>1.1120870431519705</v>
      </c>
      <c r="I122" s="5">
        <v>1.7252985896452921</v>
      </c>
      <c r="J122" s="5">
        <v>2.4213412642494414</v>
      </c>
      <c r="K122" s="5">
        <v>3.7221157382590278</v>
      </c>
      <c r="L122" s="13">
        <v>17.961685270611465</v>
      </c>
      <c r="M122" s="10" t="s">
        <v>41</v>
      </c>
      <c r="N122" s="10">
        <v>1</v>
      </c>
      <c r="O122" s="10">
        <v>2</v>
      </c>
      <c r="P122" s="10" t="s">
        <v>41</v>
      </c>
      <c r="Q122" s="10">
        <v>1</v>
      </c>
      <c r="R122" s="10">
        <v>2</v>
      </c>
      <c r="S122" s="10" t="s">
        <v>11</v>
      </c>
      <c r="T122" s="10" t="s">
        <v>42</v>
      </c>
      <c r="U122" s="10" t="s">
        <v>43</v>
      </c>
      <c r="W122" s="1" t="s">
        <v>20</v>
      </c>
      <c r="X122" s="5">
        <v>17.961685270611465</v>
      </c>
      <c r="Y122" s="5">
        <v>3.7221157382590278</v>
      </c>
      <c r="Z122" s="5">
        <v>14.239569532352437</v>
      </c>
      <c r="AA122" s="8">
        <v>0.43872579501492859</v>
      </c>
      <c r="AB122" s="8">
        <v>0.53512687651156055</v>
      </c>
      <c r="AC122" s="7"/>
    </row>
    <row r="123" spans="1:29" x14ac:dyDescent="0.25">
      <c r="A123" s="7"/>
      <c r="D123" s="13">
        <v>7.9094754862172163</v>
      </c>
      <c r="E123" s="13">
        <v>12.279422054321984</v>
      </c>
      <c r="F123" s="13">
        <v>11.849441295515586</v>
      </c>
      <c r="G123" s="13">
        <v>17.961685270611461</v>
      </c>
      <c r="H123" s="13">
        <v>7.9094754862172163</v>
      </c>
      <c r="I123" s="13">
        <v>12.279422054321984</v>
      </c>
      <c r="J123" s="13">
        <v>11.849441295515586</v>
      </c>
      <c r="K123" s="13">
        <v>17.961685270611461</v>
      </c>
      <c r="L123" s="1">
        <v>100.00004821333252</v>
      </c>
      <c r="M123" s="10">
        <v>1</v>
      </c>
      <c r="N123" s="5">
        <v>15.812389200958238</v>
      </c>
      <c r="O123" s="5">
        <v>23.705444362507365</v>
      </c>
      <c r="P123" s="10">
        <v>1</v>
      </c>
      <c r="Q123">
        <v>2.2259641771880602E-3</v>
      </c>
      <c r="R123">
        <v>3.6600462852287917E-3</v>
      </c>
      <c r="S123" s="12">
        <v>0.16242162164335894</v>
      </c>
      <c r="T123">
        <v>0.31306329529569038</v>
      </c>
      <c r="U123">
        <v>0.68693670470430956</v>
      </c>
      <c r="W123" s="1" t="s">
        <v>59</v>
      </c>
      <c r="X123" s="7">
        <v>100.00004821333251</v>
      </c>
      <c r="Y123" s="7">
        <v>16.426176185403612</v>
      </c>
      <c r="Z123" s="7">
        <v>83.573872027928886</v>
      </c>
      <c r="AA123" s="7">
        <v>3.4150634312275487</v>
      </c>
      <c r="AB123" s="7">
        <v>2.2364246456786416</v>
      </c>
      <c r="AC123" s="11">
        <v>5.6514880769061904</v>
      </c>
    </row>
    <row r="124" spans="1:29" x14ac:dyDescent="0.25">
      <c r="A124" s="7"/>
      <c r="M124" s="10">
        <v>2</v>
      </c>
      <c r="N124" s="5">
        <v>23.705444362507365</v>
      </c>
      <c r="O124" s="5">
        <v>36.776770287359525</v>
      </c>
      <c r="P124" s="10">
        <v>2</v>
      </c>
      <c r="Q124">
        <v>7.0695755495498502E-2</v>
      </c>
      <c r="R124">
        <v>8.583985568544357E-2</v>
      </c>
      <c r="AC124" s="7" t="s">
        <v>51</v>
      </c>
    </row>
    <row r="125" spans="1:29" x14ac:dyDescent="0.25">
      <c r="A125" s="7"/>
      <c r="C125" s="1" t="s">
        <v>35</v>
      </c>
      <c r="L125" s="7"/>
      <c r="M125" s="7"/>
      <c r="N125" s="7"/>
      <c r="O125" s="7"/>
      <c r="P125" s="7"/>
      <c r="Q125" s="7"/>
      <c r="R125" s="7"/>
      <c r="S125" s="7"/>
      <c r="T125" s="7"/>
      <c r="U125" s="7"/>
      <c r="V125" s="7"/>
      <c r="W125" s="7"/>
      <c r="X125" s="7"/>
      <c r="Y125" s="7"/>
      <c r="Z125" s="7"/>
      <c r="AA125" s="7"/>
      <c r="AB125" s="7"/>
      <c r="AC125" s="7"/>
    </row>
    <row r="126" spans="1:29" x14ac:dyDescent="0.25">
      <c r="A126" s="7"/>
      <c r="C126" s="1"/>
      <c r="D126" s="1" t="s">
        <v>13</v>
      </c>
      <c r="E126" s="1" t="s">
        <v>14</v>
      </c>
      <c r="F126" s="1" t="s">
        <v>15</v>
      </c>
      <c r="G126" s="1" t="s">
        <v>16</v>
      </c>
      <c r="H126" s="1" t="s">
        <v>17</v>
      </c>
      <c r="I126" s="1" t="s">
        <v>18</v>
      </c>
      <c r="J126" s="1" t="s">
        <v>19</v>
      </c>
      <c r="K126" s="1" t="s">
        <v>20</v>
      </c>
      <c r="AC126" s="7"/>
    </row>
    <row r="127" spans="1:29" x14ac:dyDescent="0.25">
      <c r="A127" s="7"/>
      <c r="C127" s="1" t="s">
        <v>13</v>
      </c>
      <c r="D127" s="8">
        <v>0</v>
      </c>
      <c r="E127" s="8">
        <v>-0.24752059417502559</v>
      </c>
      <c r="F127" s="8">
        <v>0</v>
      </c>
      <c r="G127" s="8">
        <v>-0.10623846898076807</v>
      </c>
      <c r="H127" s="8">
        <v>0.19844769502220641</v>
      </c>
      <c r="I127" s="8">
        <v>-0.24752059417502559</v>
      </c>
      <c r="J127" s="8">
        <v>0.29867251330658739</v>
      </c>
      <c r="K127" s="8">
        <v>-0.10623846898076807</v>
      </c>
      <c r="L127" s="14">
        <v>-0.2103979179827935</v>
      </c>
      <c r="AC127" s="7"/>
    </row>
    <row r="128" spans="1:29" x14ac:dyDescent="0.25">
      <c r="A128" s="7"/>
      <c r="C128" s="1" t="s">
        <v>14</v>
      </c>
      <c r="D128" s="8">
        <v>-0.24752059417502559</v>
      </c>
      <c r="E128" s="8">
        <v>-0.70382974538826715</v>
      </c>
      <c r="F128" s="8">
        <v>-0.10623846898076807</v>
      </c>
      <c r="G128" s="8">
        <v>-0.54540013095058104</v>
      </c>
      <c r="H128" s="8">
        <v>-0.24752059417502559</v>
      </c>
      <c r="I128" s="8">
        <v>-0.70382974538826715</v>
      </c>
      <c r="J128" s="8">
        <v>1.1738174231583545</v>
      </c>
      <c r="K128" s="8">
        <v>0.29549409921872849</v>
      </c>
      <c r="L128" s="14">
        <v>-1.0850277566808517</v>
      </c>
      <c r="AC128" s="7"/>
    </row>
    <row r="129" spans="1:29" x14ac:dyDescent="0.25">
      <c r="A129" s="7"/>
      <c r="C129" s="1" t="s">
        <v>15</v>
      </c>
      <c r="D129" s="8">
        <v>0</v>
      </c>
      <c r="E129" s="8">
        <v>-0.10623846898076807</v>
      </c>
      <c r="F129" s="8">
        <v>-0.5004661736645456</v>
      </c>
      <c r="G129" s="8">
        <v>-0.38234889499797525</v>
      </c>
      <c r="H129" s="8">
        <v>0.29867251330658723</v>
      </c>
      <c r="I129" s="8">
        <v>-0.10623846898076807</v>
      </c>
      <c r="J129" s="8">
        <v>0.38536201379079954</v>
      </c>
      <c r="K129" s="8">
        <v>-0.38234889499797525</v>
      </c>
      <c r="L129" s="14">
        <v>-0.79360637452464544</v>
      </c>
      <c r="AC129" s="7"/>
    </row>
    <row r="130" spans="1:29" x14ac:dyDescent="0.25">
      <c r="A130" s="7"/>
      <c r="C130" s="1" t="s">
        <v>16</v>
      </c>
      <c r="D130" s="8">
        <v>-0.10623846898076832</v>
      </c>
      <c r="E130" s="8">
        <v>-0.54540013095058104</v>
      </c>
      <c r="F130" s="8">
        <v>-0.38234889499797525</v>
      </c>
      <c r="G130" s="8">
        <v>-1.242290145787494</v>
      </c>
      <c r="H130" s="8">
        <v>-0.10623846898076832</v>
      </c>
      <c r="I130" s="8">
        <v>0.29549409921872849</v>
      </c>
      <c r="J130" s="8">
        <v>-0.38234889499797525</v>
      </c>
      <c r="K130" s="8">
        <v>-0.6470398943567478</v>
      </c>
      <c r="L130" s="14">
        <v>-3.1164107998335813</v>
      </c>
      <c r="AC130" s="7"/>
    </row>
    <row r="131" spans="1:29" x14ac:dyDescent="0.25">
      <c r="A131" s="7"/>
      <c r="C131" s="1" t="s">
        <v>17</v>
      </c>
      <c r="D131" s="8">
        <v>0.19844769502220641</v>
      </c>
      <c r="E131" s="8">
        <v>-0.24752059417502559</v>
      </c>
      <c r="F131" s="8">
        <v>0.29867251330658739</v>
      </c>
      <c r="G131" s="8">
        <v>-0.10623846898076807</v>
      </c>
      <c r="H131" s="8">
        <v>0.19844769502220641</v>
      </c>
      <c r="I131" s="8">
        <v>-0.24752059417502559</v>
      </c>
      <c r="J131" s="8">
        <v>0.29867251330658739</v>
      </c>
      <c r="K131" s="8">
        <v>2.9771214590620243</v>
      </c>
      <c r="L131" s="14">
        <v>3.3700822183887924</v>
      </c>
      <c r="AC131" s="7"/>
    </row>
    <row r="132" spans="1:29" x14ac:dyDescent="0.25">
      <c r="A132" s="7"/>
      <c r="C132" s="1" t="s">
        <v>18</v>
      </c>
      <c r="D132" s="8">
        <v>-0.24752059417502559</v>
      </c>
      <c r="E132" s="8">
        <v>-0.70382974538826715</v>
      </c>
      <c r="F132" s="8">
        <v>-0.10623846898076807</v>
      </c>
      <c r="G132" s="8">
        <v>0.29549409921872849</v>
      </c>
      <c r="H132" s="8">
        <v>-0.24752059417502559</v>
      </c>
      <c r="I132" s="8">
        <v>1.1843476298395275</v>
      </c>
      <c r="J132" s="8">
        <v>1.1738174231583545</v>
      </c>
      <c r="K132" s="8">
        <v>1.6596364731525863</v>
      </c>
      <c r="L132" s="14">
        <v>3.0081862226501102</v>
      </c>
      <c r="AC132" s="7"/>
    </row>
    <row r="133" spans="1:29" x14ac:dyDescent="0.25">
      <c r="A133" s="7"/>
      <c r="C133" s="1" t="s">
        <v>19</v>
      </c>
      <c r="D133" s="8">
        <v>0.29867251330658723</v>
      </c>
      <c r="E133" s="8">
        <v>1.1738174231583545</v>
      </c>
      <c r="F133" s="8">
        <v>0.38536201379079954</v>
      </c>
      <c r="G133" s="8">
        <v>-0.38234889499797525</v>
      </c>
      <c r="H133" s="8">
        <v>0.29867251330658723</v>
      </c>
      <c r="I133" s="8">
        <v>1.1738174231583545</v>
      </c>
      <c r="J133" s="8">
        <v>0.38536201379079954</v>
      </c>
      <c r="K133" s="8">
        <v>-0.38234889499797525</v>
      </c>
      <c r="L133" s="14">
        <v>2.9510061105155319</v>
      </c>
      <c r="AC133" s="7"/>
    </row>
    <row r="134" spans="1:29" x14ac:dyDescent="0.25">
      <c r="A134" s="7"/>
      <c r="C134" s="1" t="s">
        <v>20</v>
      </c>
      <c r="D134" s="8">
        <v>-0.10623846898076832</v>
      </c>
      <c r="E134" s="8">
        <v>0.29549409921872849</v>
      </c>
      <c r="F134" s="8">
        <v>-0.38234889499797525</v>
      </c>
      <c r="G134" s="8">
        <v>-0.6470398943567478</v>
      </c>
      <c r="H134" s="8">
        <v>2.9771214590620243</v>
      </c>
      <c r="I134" s="8">
        <v>1.6596364731525863</v>
      </c>
      <c r="J134" s="8">
        <v>0.64287198182753014</v>
      </c>
      <c r="K134" s="8">
        <v>1.4757282949020403</v>
      </c>
      <c r="L134" s="14">
        <v>5.9152250498274181</v>
      </c>
      <c r="AC134" s="7"/>
    </row>
    <row r="135" spans="1:29" x14ac:dyDescent="0.25">
      <c r="A135" s="7"/>
      <c r="D135" s="14">
        <v>-0.21039791798279417</v>
      </c>
      <c r="E135" s="14">
        <v>-1.0850277566808517</v>
      </c>
      <c r="F135" s="14">
        <v>-0.79360637452464533</v>
      </c>
      <c r="G135" s="14">
        <v>-3.1164107998335813</v>
      </c>
      <c r="H135" s="14">
        <v>3.370082218388792</v>
      </c>
      <c r="I135" s="14">
        <v>3.0081862226501102</v>
      </c>
      <c r="J135" s="14">
        <v>3.9762269873410379</v>
      </c>
      <c r="K135" s="14">
        <v>4.8900041730019126</v>
      </c>
      <c r="L135" s="2">
        <v>20.078113504719962</v>
      </c>
      <c r="M135" t="s">
        <v>53</v>
      </c>
      <c r="AC135" s="7"/>
    </row>
    <row r="136" spans="1:29" x14ac:dyDescent="0.25">
      <c r="A136" s="7"/>
      <c r="AC136" s="7"/>
    </row>
    <row r="137" spans="1:29" x14ac:dyDescent="0.25">
      <c r="A137" s="7"/>
      <c r="AC137" s="7"/>
    </row>
    <row r="138" spans="1:29" x14ac:dyDescent="0.25">
      <c r="A138" s="7"/>
      <c r="C138" t="s">
        <v>52</v>
      </c>
      <c r="AC138" s="7"/>
    </row>
    <row r="139" spans="1:29" x14ac:dyDescent="0.25">
      <c r="A139" s="7"/>
      <c r="C139" s="1"/>
      <c r="D139" s="1" t="s">
        <v>13</v>
      </c>
      <c r="E139" s="1" t="s">
        <v>14</v>
      </c>
      <c r="F139" s="1" t="s">
        <v>15</v>
      </c>
      <c r="G139" s="1" t="s">
        <v>16</v>
      </c>
      <c r="H139" s="1" t="s">
        <v>17</v>
      </c>
      <c r="I139" s="1" t="s">
        <v>18</v>
      </c>
      <c r="J139" s="1" t="s">
        <v>19</v>
      </c>
      <c r="K139" s="1" t="s">
        <v>20</v>
      </c>
      <c r="L139" s="7"/>
      <c r="AC139" s="7"/>
    </row>
    <row r="140" spans="1:29" x14ac:dyDescent="0.25">
      <c r="A140" s="7"/>
      <c r="C140" s="1" t="s">
        <v>13</v>
      </c>
      <c r="D140" s="8">
        <v>0.82000265983965193</v>
      </c>
      <c r="E140" s="8">
        <v>6.1579882143251302E-2</v>
      </c>
      <c r="F140" s="8">
        <v>0.74180230004352565</v>
      </c>
      <c r="G140" s="8">
        <v>1.129723192075245E-2</v>
      </c>
      <c r="H140" s="8">
        <v>3.9510899234321446E-2</v>
      </c>
      <c r="I140" s="8">
        <v>6.1579882143251302E-2</v>
      </c>
      <c r="J140" s="8">
        <v>8.9870376863083176E-2</v>
      </c>
      <c r="K140" s="8">
        <v>1.129723192075245E-2</v>
      </c>
      <c r="L140" s="15">
        <v>1.8369404641085896</v>
      </c>
      <c r="AC140" s="7"/>
    </row>
    <row r="141" spans="1:29" x14ac:dyDescent="0.25">
      <c r="A141" s="7"/>
      <c r="C141" s="1" t="s">
        <v>14</v>
      </c>
      <c r="D141" s="8">
        <v>6.1579882143251302E-2</v>
      </c>
      <c r="E141" s="8">
        <v>0.51616679985597425</v>
      </c>
      <c r="F141" s="8">
        <v>1.129723192075245E-2</v>
      </c>
      <c r="G141" s="8">
        <v>0.30490840675271358</v>
      </c>
      <c r="H141" s="8">
        <v>6.1579882143251302E-2</v>
      </c>
      <c r="I141" s="8">
        <v>0.51616679985597425</v>
      </c>
      <c r="J141" s="8">
        <v>0.70892779822709906</v>
      </c>
      <c r="K141" s="8">
        <v>4.3737858074978056E-2</v>
      </c>
      <c r="L141" s="15">
        <v>2.224364658973994</v>
      </c>
      <c r="AC141" s="7"/>
    </row>
    <row r="142" spans="1:29" x14ac:dyDescent="0.25">
      <c r="A142" s="7"/>
      <c r="C142" s="1" t="s">
        <v>15</v>
      </c>
      <c r="D142" s="8">
        <v>0.74180230004352588</v>
      </c>
      <c r="E142" s="8">
        <v>1.129723192075245E-2</v>
      </c>
      <c r="F142" s="8">
        <v>0.2557380172999324</v>
      </c>
      <c r="G142" s="8">
        <v>7.331823216350597E-2</v>
      </c>
      <c r="H142" s="8">
        <v>8.9870376863082996E-2</v>
      </c>
      <c r="I142" s="8">
        <v>1.129723192075245E-2</v>
      </c>
      <c r="J142" s="8">
        <v>7.448194826116146E-2</v>
      </c>
      <c r="K142" s="8">
        <v>7.331823216350597E-2</v>
      </c>
      <c r="L142" s="15">
        <v>1.3311235706362197</v>
      </c>
      <c r="AC142" s="7"/>
    </row>
    <row r="143" spans="1:29" x14ac:dyDescent="0.25">
      <c r="A143" s="7"/>
      <c r="C143" s="1" t="s">
        <v>16</v>
      </c>
      <c r="D143" s="8">
        <v>1.1297231920752491E-2</v>
      </c>
      <c r="E143" s="8">
        <v>0.30490840675271358</v>
      </c>
      <c r="F143" s="8">
        <v>7.331823216350597E-2</v>
      </c>
      <c r="G143" s="8">
        <v>0.79677334733997185</v>
      </c>
      <c r="H143" s="8">
        <v>1.1297231920752491E-2</v>
      </c>
      <c r="I143" s="8">
        <v>4.3737858074978056E-2</v>
      </c>
      <c r="J143" s="8">
        <v>7.331823216350597E-2</v>
      </c>
      <c r="K143" s="8">
        <v>0.14009535869115203</v>
      </c>
      <c r="L143" s="15">
        <v>1.4547458990273323</v>
      </c>
      <c r="AC143" s="7"/>
    </row>
    <row r="144" spans="1:29" x14ac:dyDescent="0.25">
      <c r="A144" s="7"/>
      <c r="C144" s="1" t="s">
        <v>17</v>
      </c>
      <c r="D144" s="8">
        <v>3.9510899234321446E-2</v>
      </c>
      <c r="E144" s="8">
        <v>6.1579882143251302E-2</v>
      </c>
      <c r="F144" s="8">
        <v>8.9870376863083176E-2</v>
      </c>
      <c r="G144" s="8">
        <v>1.129723192075245E-2</v>
      </c>
      <c r="H144" s="8">
        <v>3.9510899234321446E-2</v>
      </c>
      <c r="I144" s="8">
        <v>6.1579882143251302E-2</v>
      </c>
      <c r="J144" s="8">
        <v>8.9870376863083176E-2</v>
      </c>
      <c r="K144" s="8">
        <v>3.2049787420710096</v>
      </c>
      <c r="L144" s="15">
        <v>3.598198290473074</v>
      </c>
      <c r="AC144" s="7"/>
    </row>
    <row r="145" spans="1:29" x14ac:dyDescent="0.25">
      <c r="A145" s="7"/>
      <c r="C145" s="1" t="s">
        <v>18</v>
      </c>
      <c r="D145" s="8">
        <v>6.1579882143251302E-2</v>
      </c>
      <c r="E145" s="8">
        <v>0.51616679985597425</v>
      </c>
      <c r="F145" s="8">
        <v>1.129723192075245E-2</v>
      </c>
      <c r="G145" s="8">
        <v>4.3737858074978056E-2</v>
      </c>
      <c r="H145" s="8">
        <v>6.1579882143251302E-2</v>
      </c>
      <c r="I145" s="8">
        <v>0.47366396438160668</v>
      </c>
      <c r="J145" s="8">
        <v>0.70892779822709906</v>
      </c>
      <c r="K145" s="8">
        <v>0.94178694361208548</v>
      </c>
      <c r="L145" s="15">
        <v>2.8187403603589987</v>
      </c>
      <c r="AC145" s="7"/>
    </row>
    <row r="146" spans="1:29" x14ac:dyDescent="0.25">
      <c r="A146" s="7"/>
      <c r="C146" s="1" t="s">
        <v>19</v>
      </c>
      <c r="D146" s="8">
        <v>8.9870376863082996E-2</v>
      </c>
      <c r="E146" s="8">
        <v>0.70892779822709906</v>
      </c>
      <c r="F146" s="8">
        <v>7.448194826116146E-2</v>
      </c>
      <c r="G146" s="8">
        <v>7.331823216350597E-2</v>
      </c>
      <c r="H146" s="8">
        <v>8.9870376863082996E-2</v>
      </c>
      <c r="I146" s="8">
        <v>0.70892779822709906</v>
      </c>
      <c r="J146" s="8">
        <v>7.448194826116146E-2</v>
      </c>
      <c r="K146" s="8">
        <v>7.331823216350597E-2</v>
      </c>
      <c r="L146" s="15">
        <v>1.8931967110296988</v>
      </c>
      <c r="AC146" s="7"/>
    </row>
    <row r="147" spans="1:29" x14ac:dyDescent="0.25">
      <c r="A147" s="7"/>
      <c r="C147" s="1" t="s">
        <v>20</v>
      </c>
      <c r="D147" s="8">
        <v>1.1297231920752491E-2</v>
      </c>
      <c r="E147" s="8">
        <v>4.3737858074978056E-2</v>
      </c>
      <c r="F147" s="8">
        <v>7.331823216350597E-2</v>
      </c>
      <c r="G147" s="8">
        <v>0.14009535869115203</v>
      </c>
      <c r="H147" s="8">
        <v>3.2049787420710087</v>
      </c>
      <c r="I147" s="8">
        <v>0.94178694361208548</v>
      </c>
      <c r="J147" s="8">
        <v>0.13828944205608668</v>
      </c>
      <c r="K147" s="8">
        <v>0.43872579501492859</v>
      </c>
      <c r="L147" s="15">
        <v>4.992229603604498</v>
      </c>
      <c r="N147">
        <v>1.214919135059129E-5</v>
      </c>
      <c r="AC147" s="7"/>
    </row>
    <row r="148" spans="1:29" x14ac:dyDescent="0.25">
      <c r="A148" s="7"/>
      <c r="B148" s="7"/>
      <c r="C148" s="7"/>
      <c r="D148" s="15">
        <v>1.83694046410859</v>
      </c>
      <c r="E148" s="15">
        <v>2.224364658973994</v>
      </c>
      <c r="F148" s="15">
        <v>1.3311235706362194</v>
      </c>
      <c r="G148" s="15">
        <v>1.4547458990273323</v>
      </c>
      <c r="H148" s="15">
        <v>3.5981982904730727</v>
      </c>
      <c r="I148" s="15">
        <v>2.8187403603589987</v>
      </c>
      <c r="J148" s="15">
        <v>1.95816792092228</v>
      </c>
      <c r="K148" s="15">
        <v>4.9272583937119183</v>
      </c>
      <c r="L148" s="16">
        <v>20.149539558212403</v>
      </c>
      <c r="M148" t="s">
        <v>11</v>
      </c>
      <c r="N148" s="7">
        <v>0.99998785080864938</v>
      </c>
      <c r="O148" s="7" t="s">
        <v>61</v>
      </c>
      <c r="P148" s="7"/>
      <c r="Q148" s="7"/>
      <c r="R148" s="7"/>
      <c r="S148" s="7"/>
      <c r="T148" s="7"/>
      <c r="U148" s="7"/>
      <c r="V148" s="7"/>
      <c r="W148" s="7"/>
      <c r="X148" s="7"/>
      <c r="Y148" s="7"/>
      <c r="Z148" s="7"/>
      <c r="AA148" s="7"/>
      <c r="AB148" s="7"/>
      <c r="AC148"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READ_ME</vt:lpstr>
      <vt:lpstr>calcs</vt:lpstr>
      <vt:lpstr>Tbl_6_intrans</vt:lpstr>
      <vt:lpstr>Tbl_6_trans</vt:lpstr>
      <vt:lpstr>Tbl_6_trans_cnstrn</vt:lpstr>
      <vt:lpstr>Ex1_8_2</vt:lpstr>
      <vt:lpstr>EX2_8_2</vt:lpstr>
      <vt:lpstr>EX3_8_2</vt:lpstr>
      <vt:lpstr>EX4_8_2</vt:lpstr>
      <vt:lpstr>EX5_8_2</vt:lpstr>
      <vt:lpstr>EX6_8_2</vt:lpstr>
      <vt:lpstr>col_111</vt:lpstr>
      <vt:lpstr>col_112</vt:lpstr>
      <vt:lpstr>col_121</vt:lpstr>
      <vt:lpstr>col_122</vt:lpstr>
      <vt:lpstr>col_211</vt:lpstr>
      <vt:lpstr>col_212</vt:lpstr>
      <vt:lpstr>col_221</vt:lpstr>
      <vt:lpstr>col_222</vt:lpstr>
      <vt:lpstr>col_I</vt:lpstr>
      <vt:lpstr>e1_</vt:lpstr>
      <vt:lpstr>e2_</vt:lpstr>
      <vt:lpstr>e3_</vt:lpstr>
      <vt:lpstr>ep1_</vt:lpstr>
      <vt:lpstr>ep2_</vt:lpstr>
      <vt:lpstr>ep3_</vt:lpstr>
      <vt:lpstr>p_111</vt:lpstr>
      <vt:lpstr>p_112</vt:lpstr>
      <vt:lpstr>p_121</vt:lpstr>
      <vt:lpstr>p_122</vt:lpstr>
      <vt:lpstr>p_211</vt:lpstr>
      <vt:lpstr>p_212</vt:lpstr>
      <vt:lpstr>p_221</vt:lpstr>
      <vt:lpstr>p_222</vt:lpstr>
      <vt:lpstr>p_MR</vt:lpstr>
      <vt:lpstr>p_R</vt:lpstr>
      <vt:lpstr>row_111</vt:lpstr>
      <vt:lpstr>row_112</vt:lpstr>
      <vt:lpstr>row_121</vt:lpstr>
      <vt:lpstr>row_122</vt:lpstr>
      <vt:lpstr>row_211</vt:lpstr>
      <vt:lpstr>row_212</vt:lpstr>
      <vt:lpstr>row_221</vt:lpstr>
      <vt:lpstr>row_222</vt:lpstr>
      <vt:lpstr>row_I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DIECIDUE Enrico</dc:creator>
  <cp:lastModifiedBy>Windows User</cp:lastModifiedBy>
  <dcterms:created xsi:type="dcterms:W3CDTF">2013-04-01T16:23:37Z</dcterms:created>
  <dcterms:modified xsi:type="dcterms:W3CDTF">2013-10-14T23:03:14Z</dcterms:modified>
</cp:coreProperties>
</file>