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116"/>
  <workbookPr/>
  <mc:AlternateContent xmlns:mc="http://schemas.openxmlformats.org/markup-compatibility/2006">
    <mc:Choice Requires="x15">
      <x15ac:absPath xmlns:x15ac="http://schemas.microsoft.com/office/spreadsheetml/2010/11/ac" url="/Users/AsiaR/Dropbox/2017 experiment MM with random vs non random looking nos representativeness/"/>
    </mc:Choice>
  </mc:AlternateContent>
  <bookViews>
    <workbookView xWindow="-4420" yWindow="-21140" windowWidth="31580" windowHeight="18000" tabRatio="500" xr2:uid="{00000000-000D-0000-FFFF-FFFF00000000}"/>
  </bookViews>
  <sheets>
    <sheet name="data" sheetId="1" r:id="rId1"/>
    <sheet name="variable code book" sheetId="26" r:id="rId2"/>
    <sheet name="Table 3" sheetId="27" r:id="rId3"/>
    <sheet name="gender results, Table 4" sheetId="11" r:id="rId4"/>
    <sheet name="2 tasks" sheetId="24" r:id="rId5"/>
    <sheet name="treatments" sheetId="4" r:id="rId6"/>
    <sheet name="behaviour in 2 tasks" sheetId="15" r:id="rId7"/>
    <sheet name="justifications" sheetId="14" r:id="rId8"/>
    <sheet name="plan +116" sheetId="12" r:id="rId9"/>
    <sheet name="plan +100" sheetId="7" r:id="rId10"/>
  </sheets>
  <definedNames>
    <definedName name="_xlnm._FilterDatabase" localSheetId="0" hidden="1">data!$A$1:$AH$474</definedName>
  </definedNames>
  <calcPr calcId="171027" concurrentCalc="0"/>
  <pivotCaches>
    <pivotCache cacheId="6" r:id="rId11"/>
    <pivotCache cacheId="7" r:id="rId12"/>
    <pivotCache cacheId="8" r:id="rId13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5" i="11" l="1"/>
  <c r="G35" i="11"/>
  <c r="F35" i="11"/>
  <c r="I40" i="27"/>
  <c r="R6" i="27"/>
  <c r="V30" i="27"/>
  <c r="U36" i="27"/>
  <c r="I53" i="14"/>
  <c r="J52" i="14"/>
  <c r="I52" i="14"/>
  <c r="I51" i="14"/>
  <c r="J50" i="14"/>
  <c r="I50" i="14"/>
  <c r="J49" i="14"/>
  <c r="I49" i="14"/>
  <c r="J48" i="14"/>
  <c r="I48" i="14"/>
  <c r="J47" i="14"/>
  <c r="I47" i="14"/>
  <c r="J46" i="14"/>
  <c r="I46" i="14"/>
  <c r="K42" i="14"/>
  <c r="K41" i="14"/>
  <c r="K39" i="14"/>
  <c r="K38" i="14"/>
  <c r="K36" i="14"/>
  <c r="K35" i="14"/>
  <c r="J42" i="14"/>
  <c r="J41" i="14"/>
  <c r="J40" i="14"/>
  <c r="J39" i="14"/>
  <c r="J38" i="14"/>
  <c r="J37" i="14"/>
  <c r="J36" i="14"/>
  <c r="E33" i="14"/>
  <c r="J35" i="14"/>
  <c r="N42" i="14"/>
  <c r="E30" i="14"/>
  <c r="N41" i="14"/>
  <c r="N40" i="14"/>
  <c r="N39" i="14"/>
  <c r="N36" i="14"/>
  <c r="N35" i="14"/>
  <c r="M42" i="14"/>
  <c r="M41" i="14"/>
  <c r="M40" i="14"/>
  <c r="M39" i="14"/>
  <c r="M38" i="14"/>
  <c r="M37" i="14"/>
  <c r="M36" i="14"/>
  <c r="M35" i="14"/>
  <c r="L42" i="14"/>
  <c r="L41" i="14"/>
  <c r="L40" i="14"/>
  <c r="L39" i="14"/>
  <c r="L38" i="14"/>
  <c r="L37" i="14"/>
  <c r="L36" i="14"/>
  <c r="L35" i="14"/>
  <c r="I42" i="14"/>
  <c r="I41" i="14"/>
  <c r="I40" i="14"/>
  <c r="I39" i="14"/>
  <c r="I38" i="14"/>
  <c r="I37" i="14"/>
  <c r="I36" i="14"/>
  <c r="I35" i="14"/>
  <c r="I31" i="24"/>
  <c r="F31" i="24"/>
  <c r="I30" i="24"/>
  <c r="F30" i="24"/>
  <c r="I29" i="24"/>
  <c r="F29" i="24"/>
  <c r="I19" i="24"/>
  <c r="I18" i="24"/>
  <c r="I20" i="24"/>
  <c r="F20" i="24"/>
  <c r="F19" i="24"/>
  <c r="F18" i="24"/>
  <c r="I14" i="24"/>
  <c r="I13" i="24"/>
  <c r="I12" i="24"/>
  <c r="F14" i="24"/>
  <c r="F13" i="24"/>
  <c r="F12" i="24"/>
  <c r="I7" i="24"/>
  <c r="I6" i="24"/>
  <c r="I5" i="24"/>
  <c r="F7" i="24"/>
  <c r="F6" i="24"/>
  <c r="F5" i="24"/>
  <c r="AE371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Z3" i="1"/>
  <c r="H34" i="11"/>
  <c r="G34" i="11"/>
  <c r="F34" i="11"/>
  <c r="H31" i="11"/>
  <c r="H30" i="11"/>
  <c r="G31" i="11"/>
  <c r="G30" i="11"/>
  <c r="F31" i="11"/>
  <c r="K31" i="11"/>
  <c r="H28" i="11"/>
  <c r="H27" i="11"/>
  <c r="G28" i="11"/>
  <c r="G27" i="11"/>
  <c r="F28" i="11"/>
  <c r="K29" i="11"/>
  <c r="K25" i="11"/>
  <c r="K24" i="11"/>
  <c r="H24" i="11"/>
  <c r="H23" i="11"/>
  <c r="F24" i="11"/>
  <c r="G24" i="11"/>
  <c r="G23" i="11"/>
  <c r="H21" i="11"/>
  <c r="H20" i="11"/>
  <c r="G21" i="11"/>
  <c r="G20" i="11"/>
  <c r="F21" i="11"/>
  <c r="N21" i="4"/>
  <c r="M21" i="4"/>
  <c r="L21" i="4"/>
  <c r="N24" i="4"/>
  <c r="L22" i="4"/>
  <c r="M22" i="4"/>
  <c r="N22" i="4"/>
  <c r="U51" i="11"/>
  <c r="U50" i="11"/>
  <c r="U52" i="11"/>
  <c r="T51" i="11"/>
  <c r="T50" i="11"/>
  <c r="T52" i="11"/>
  <c r="U44" i="11"/>
  <c r="U43" i="11"/>
  <c r="U45" i="11"/>
  <c r="T44" i="11"/>
  <c r="T43" i="11"/>
  <c r="T45" i="11"/>
  <c r="K67" i="11"/>
  <c r="K66" i="11"/>
  <c r="I22" i="14"/>
  <c r="K13" i="14"/>
  <c r="H16" i="14"/>
  <c r="H17" i="14"/>
  <c r="H18" i="14"/>
  <c r="J13" i="14"/>
  <c r="J14" i="14"/>
  <c r="J15" i="14"/>
  <c r="J16" i="14"/>
  <c r="J17" i="14"/>
  <c r="J18" i="14"/>
  <c r="J12" i="14"/>
  <c r="J22" i="14"/>
  <c r="J23" i="14"/>
  <c r="G13" i="14"/>
  <c r="H13" i="14"/>
  <c r="G85" i="11"/>
  <c r="H85" i="11"/>
  <c r="E85" i="11"/>
  <c r="F85" i="11"/>
  <c r="G79" i="11"/>
  <c r="H79" i="11"/>
  <c r="E79" i="11"/>
  <c r="F79" i="11"/>
  <c r="H74" i="11"/>
  <c r="G74" i="11"/>
  <c r="F74" i="11"/>
  <c r="E74" i="11"/>
  <c r="J20" i="15"/>
  <c r="J29" i="15"/>
  <c r="J30" i="15"/>
  <c r="J21" i="15"/>
  <c r="J27" i="15"/>
  <c r="J24" i="15"/>
  <c r="J25" i="15"/>
  <c r="J22" i="15"/>
  <c r="J23" i="15"/>
  <c r="I20" i="15"/>
  <c r="I29" i="15"/>
  <c r="I30" i="15"/>
  <c r="I24" i="15"/>
  <c r="I25" i="15"/>
  <c r="I22" i="15"/>
  <c r="I23" i="15"/>
  <c r="K18" i="15"/>
  <c r="I19" i="15"/>
  <c r="J19" i="15"/>
  <c r="K10" i="15"/>
  <c r="K12" i="15"/>
  <c r="J10" i="15"/>
  <c r="J12" i="15"/>
  <c r="H12" i="15"/>
  <c r="H10" i="15"/>
  <c r="K8" i="15"/>
  <c r="I8" i="15"/>
  <c r="J8" i="15"/>
  <c r="H8" i="15"/>
  <c r="I10" i="15"/>
  <c r="I12" i="15"/>
  <c r="K9" i="15"/>
  <c r="K11" i="15"/>
  <c r="K7" i="15"/>
  <c r="I9" i="15"/>
  <c r="I11" i="15"/>
  <c r="J9" i="15"/>
  <c r="J11" i="15"/>
  <c r="J7" i="15"/>
  <c r="H9" i="15"/>
  <c r="H11" i="15"/>
  <c r="G15" i="14"/>
  <c r="H15" i="14"/>
  <c r="G14" i="14"/>
  <c r="H14" i="14"/>
  <c r="G12" i="14"/>
  <c r="G22" i="14"/>
  <c r="F30" i="11"/>
  <c r="K30" i="11"/>
  <c r="F27" i="11"/>
  <c r="K28" i="11"/>
  <c r="F23" i="11"/>
  <c r="K23" i="11"/>
  <c r="F20" i="11"/>
  <c r="K20" i="11"/>
  <c r="G6" i="11"/>
  <c r="G3" i="11"/>
  <c r="AG474" i="1"/>
  <c r="AF474" i="1"/>
  <c r="AE474" i="1"/>
  <c r="AD474" i="1"/>
  <c r="AC474" i="1"/>
  <c r="AB474" i="1"/>
  <c r="AA474" i="1"/>
  <c r="Z474" i="1"/>
  <c r="AG473" i="1"/>
  <c r="AF473" i="1"/>
  <c r="AE473" i="1"/>
  <c r="AD473" i="1"/>
  <c r="AC473" i="1"/>
  <c r="AB473" i="1"/>
  <c r="AA473" i="1"/>
  <c r="Z473" i="1"/>
  <c r="AG472" i="1"/>
  <c r="AF472" i="1"/>
  <c r="AE472" i="1"/>
  <c r="AD472" i="1"/>
  <c r="AC472" i="1"/>
  <c r="AB472" i="1"/>
  <c r="AA472" i="1"/>
  <c r="Z472" i="1"/>
  <c r="AG471" i="1"/>
  <c r="AF471" i="1"/>
  <c r="AE471" i="1"/>
  <c r="AD471" i="1"/>
  <c r="AC471" i="1"/>
  <c r="AB471" i="1"/>
  <c r="AA471" i="1"/>
  <c r="Z471" i="1"/>
  <c r="AG470" i="1"/>
  <c r="AF470" i="1"/>
  <c r="AE470" i="1"/>
  <c r="AD470" i="1"/>
  <c r="AC470" i="1"/>
  <c r="AB470" i="1"/>
  <c r="AA470" i="1"/>
  <c r="Z470" i="1"/>
  <c r="AG469" i="1"/>
  <c r="AF469" i="1"/>
  <c r="AE469" i="1"/>
  <c r="AD469" i="1"/>
  <c r="AC469" i="1"/>
  <c r="AB469" i="1"/>
  <c r="AA469" i="1"/>
  <c r="Z469" i="1"/>
  <c r="AG468" i="1"/>
  <c r="AF468" i="1"/>
  <c r="AE468" i="1"/>
  <c r="AD468" i="1"/>
  <c r="AC468" i="1"/>
  <c r="AB468" i="1"/>
  <c r="AA468" i="1"/>
  <c r="Z468" i="1"/>
  <c r="AG467" i="1"/>
  <c r="AF467" i="1"/>
  <c r="AE467" i="1"/>
  <c r="AD467" i="1"/>
  <c r="AC467" i="1"/>
  <c r="AB467" i="1"/>
  <c r="AA467" i="1"/>
  <c r="Z467" i="1"/>
  <c r="AG466" i="1"/>
  <c r="AF466" i="1"/>
  <c r="AE466" i="1"/>
  <c r="AD466" i="1"/>
  <c r="AC466" i="1"/>
  <c r="AB466" i="1"/>
  <c r="AA466" i="1"/>
  <c r="Z466" i="1"/>
  <c r="AG465" i="1"/>
  <c r="AF465" i="1"/>
  <c r="AE465" i="1"/>
  <c r="AD465" i="1"/>
  <c r="AC465" i="1"/>
  <c r="AB465" i="1"/>
  <c r="AA465" i="1"/>
  <c r="Z465" i="1"/>
  <c r="AG464" i="1"/>
  <c r="AF464" i="1"/>
  <c r="AE464" i="1"/>
  <c r="AD464" i="1"/>
  <c r="AC464" i="1"/>
  <c r="AB464" i="1"/>
  <c r="AA464" i="1"/>
  <c r="Z464" i="1"/>
  <c r="AG463" i="1"/>
  <c r="AF463" i="1"/>
  <c r="AE463" i="1"/>
  <c r="AD463" i="1"/>
  <c r="AC463" i="1"/>
  <c r="AB463" i="1"/>
  <c r="AA463" i="1"/>
  <c r="Z463" i="1"/>
  <c r="AG462" i="1"/>
  <c r="AF462" i="1"/>
  <c r="AE462" i="1"/>
  <c r="AD462" i="1"/>
  <c r="AC462" i="1"/>
  <c r="AB462" i="1"/>
  <c r="AA462" i="1"/>
  <c r="Z462" i="1"/>
  <c r="AG461" i="1"/>
  <c r="AF461" i="1"/>
  <c r="AE461" i="1"/>
  <c r="AD461" i="1"/>
  <c r="AC461" i="1"/>
  <c r="AB461" i="1"/>
  <c r="AA461" i="1"/>
  <c r="Z461" i="1"/>
  <c r="AG460" i="1"/>
  <c r="AF460" i="1"/>
  <c r="AE460" i="1"/>
  <c r="AD460" i="1"/>
  <c r="AC460" i="1"/>
  <c r="AB460" i="1"/>
  <c r="AA460" i="1"/>
  <c r="Z460" i="1"/>
  <c r="AG459" i="1"/>
  <c r="AF459" i="1"/>
  <c r="AE459" i="1"/>
  <c r="AD459" i="1"/>
  <c r="AC459" i="1"/>
  <c r="AB459" i="1"/>
  <c r="AA459" i="1"/>
  <c r="Z459" i="1"/>
  <c r="AG458" i="1"/>
  <c r="AF458" i="1"/>
  <c r="AE458" i="1"/>
  <c r="AD458" i="1"/>
  <c r="AC458" i="1"/>
  <c r="AB458" i="1"/>
  <c r="AA458" i="1"/>
  <c r="Z458" i="1"/>
  <c r="AG457" i="1"/>
  <c r="AF457" i="1"/>
  <c r="AE457" i="1"/>
  <c r="AD457" i="1"/>
  <c r="AC457" i="1"/>
  <c r="AB457" i="1"/>
  <c r="AA457" i="1"/>
  <c r="Z457" i="1"/>
  <c r="AG456" i="1"/>
  <c r="AF456" i="1"/>
  <c r="AE456" i="1"/>
  <c r="AD456" i="1"/>
  <c r="AC456" i="1"/>
  <c r="AB456" i="1"/>
  <c r="AA456" i="1"/>
  <c r="Z456" i="1"/>
  <c r="AG455" i="1"/>
  <c r="AF455" i="1"/>
  <c r="AE455" i="1"/>
  <c r="AD455" i="1"/>
  <c r="AC455" i="1"/>
  <c r="AB455" i="1"/>
  <c r="AA455" i="1"/>
  <c r="Z455" i="1"/>
  <c r="AG454" i="1"/>
  <c r="AF454" i="1"/>
  <c r="AE454" i="1"/>
  <c r="AD454" i="1"/>
  <c r="AC454" i="1"/>
  <c r="AB454" i="1"/>
  <c r="AA454" i="1"/>
  <c r="Z454" i="1"/>
  <c r="AG453" i="1"/>
  <c r="AF453" i="1"/>
  <c r="AE453" i="1"/>
  <c r="AD453" i="1"/>
  <c r="AC453" i="1"/>
  <c r="AB453" i="1"/>
  <c r="AA453" i="1"/>
  <c r="Z453" i="1"/>
  <c r="AG452" i="1"/>
  <c r="AF452" i="1"/>
  <c r="AE452" i="1"/>
  <c r="AD452" i="1"/>
  <c r="AC452" i="1"/>
  <c r="AB452" i="1"/>
  <c r="AA452" i="1"/>
  <c r="Z452" i="1"/>
  <c r="AG451" i="1"/>
  <c r="AF451" i="1"/>
  <c r="AE451" i="1"/>
  <c r="AD451" i="1"/>
  <c r="AC451" i="1"/>
  <c r="AB451" i="1"/>
  <c r="AA451" i="1"/>
  <c r="Z451" i="1"/>
  <c r="AG450" i="1"/>
  <c r="AF450" i="1"/>
  <c r="AE450" i="1"/>
  <c r="AD450" i="1"/>
  <c r="AC450" i="1"/>
  <c r="AB450" i="1"/>
  <c r="AA450" i="1"/>
  <c r="Z450" i="1"/>
  <c r="AG449" i="1"/>
  <c r="AF449" i="1"/>
  <c r="AE449" i="1"/>
  <c r="AD449" i="1"/>
  <c r="AC449" i="1"/>
  <c r="AB449" i="1"/>
  <c r="AA449" i="1"/>
  <c r="Z449" i="1"/>
  <c r="AG448" i="1"/>
  <c r="AF448" i="1"/>
  <c r="AE448" i="1"/>
  <c r="AD448" i="1"/>
  <c r="AC448" i="1"/>
  <c r="AB448" i="1"/>
  <c r="AA448" i="1"/>
  <c r="Z448" i="1"/>
  <c r="AG447" i="1"/>
  <c r="AF447" i="1"/>
  <c r="AE447" i="1"/>
  <c r="AD447" i="1"/>
  <c r="AC447" i="1"/>
  <c r="AB447" i="1"/>
  <c r="AA447" i="1"/>
  <c r="Z447" i="1"/>
  <c r="AG446" i="1"/>
  <c r="AF446" i="1"/>
  <c r="AE446" i="1"/>
  <c r="AD446" i="1"/>
  <c r="AC446" i="1"/>
  <c r="AB446" i="1"/>
  <c r="AA446" i="1"/>
  <c r="Z446" i="1"/>
  <c r="AG445" i="1"/>
  <c r="AF445" i="1"/>
  <c r="AE445" i="1"/>
  <c r="AD445" i="1"/>
  <c r="AC445" i="1"/>
  <c r="AB445" i="1"/>
  <c r="AA445" i="1"/>
  <c r="Z445" i="1"/>
  <c r="AG444" i="1"/>
  <c r="AF444" i="1"/>
  <c r="AE444" i="1"/>
  <c r="AD444" i="1"/>
  <c r="AC444" i="1"/>
  <c r="AB444" i="1"/>
  <c r="AA444" i="1"/>
  <c r="Z444" i="1"/>
  <c r="AG443" i="1"/>
  <c r="AF443" i="1"/>
  <c r="AE443" i="1"/>
  <c r="AD443" i="1"/>
  <c r="AC443" i="1"/>
  <c r="AB443" i="1"/>
  <c r="AA443" i="1"/>
  <c r="Z443" i="1"/>
  <c r="AG442" i="1"/>
  <c r="AF442" i="1"/>
  <c r="AE442" i="1"/>
  <c r="AD442" i="1"/>
  <c r="AC442" i="1"/>
  <c r="AB442" i="1"/>
  <c r="AA442" i="1"/>
  <c r="Z442" i="1"/>
  <c r="AG441" i="1"/>
  <c r="AF441" i="1"/>
  <c r="AE441" i="1"/>
  <c r="AD441" i="1"/>
  <c r="AC441" i="1"/>
  <c r="AB441" i="1"/>
  <c r="AA441" i="1"/>
  <c r="Z441" i="1"/>
  <c r="AG440" i="1"/>
  <c r="AF440" i="1"/>
  <c r="AE440" i="1"/>
  <c r="AD440" i="1"/>
  <c r="AC440" i="1"/>
  <c r="AB440" i="1"/>
  <c r="AA440" i="1"/>
  <c r="Z440" i="1"/>
  <c r="AG439" i="1"/>
  <c r="AF439" i="1"/>
  <c r="AE439" i="1"/>
  <c r="AD439" i="1"/>
  <c r="AC439" i="1"/>
  <c r="AB439" i="1"/>
  <c r="AA439" i="1"/>
  <c r="Z439" i="1"/>
  <c r="AG438" i="1"/>
  <c r="AF438" i="1"/>
  <c r="AE438" i="1"/>
  <c r="AD438" i="1"/>
  <c r="AC438" i="1"/>
  <c r="AB438" i="1"/>
  <c r="AA438" i="1"/>
  <c r="Z438" i="1"/>
  <c r="AG437" i="1"/>
  <c r="AF437" i="1"/>
  <c r="AE437" i="1"/>
  <c r="AD437" i="1"/>
  <c r="AC437" i="1"/>
  <c r="AB437" i="1"/>
  <c r="AA437" i="1"/>
  <c r="Z437" i="1"/>
  <c r="AG436" i="1"/>
  <c r="AF436" i="1"/>
  <c r="AE436" i="1"/>
  <c r="AD436" i="1"/>
  <c r="AC436" i="1"/>
  <c r="AB436" i="1"/>
  <c r="AA436" i="1"/>
  <c r="Z436" i="1"/>
  <c r="AG435" i="1"/>
  <c r="AF435" i="1"/>
  <c r="AE435" i="1"/>
  <c r="AD435" i="1"/>
  <c r="AC435" i="1"/>
  <c r="AB435" i="1"/>
  <c r="AA435" i="1"/>
  <c r="Z435" i="1"/>
  <c r="AG434" i="1"/>
  <c r="AF434" i="1"/>
  <c r="AE434" i="1"/>
  <c r="AD434" i="1"/>
  <c r="AC434" i="1"/>
  <c r="AB434" i="1"/>
  <c r="AA434" i="1"/>
  <c r="Z434" i="1"/>
  <c r="AG433" i="1"/>
  <c r="AF433" i="1"/>
  <c r="AE433" i="1"/>
  <c r="AD433" i="1"/>
  <c r="AC433" i="1"/>
  <c r="AB433" i="1"/>
  <c r="AA433" i="1"/>
  <c r="Z433" i="1"/>
  <c r="AG432" i="1"/>
  <c r="AF432" i="1"/>
  <c r="AE432" i="1"/>
  <c r="AD432" i="1"/>
  <c r="AC432" i="1"/>
  <c r="AB432" i="1"/>
  <c r="AA432" i="1"/>
  <c r="Z432" i="1"/>
  <c r="AG431" i="1"/>
  <c r="AF431" i="1"/>
  <c r="AE431" i="1"/>
  <c r="AD431" i="1"/>
  <c r="AC431" i="1"/>
  <c r="AB431" i="1"/>
  <c r="AA431" i="1"/>
  <c r="Z431" i="1"/>
  <c r="AG430" i="1"/>
  <c r="AF430" i="1"/>
  <c r="AE430" i="1"/>
  <c r="AD430" i="1"/>
  <c r="AC430" i="1"/>
  <c r="AB430" i="1"/>
  <c r="AA430" i="1"/>
  <c r="Z430" i="1"/>
  <c r="AG429" i="1"/>
  <c r="AF429" i="1"/>
  <c r="AE429" i="1"/>
  <c r="AD429" i="1"/>
  <c r="AC429" i="1"/>
  <c r="AB429" i="1"/>
  <c r="AA429" i="1"/>
  <c r="Z429" i="1"/>
  <c r="AG428" i="1"/>
  <c r="AF428" i="1"/>
  <c r="AE428" i="1"/>
  <c r="AD428" i="1"/>
  <c r="AC428" i="1"/>
  <c r="AB428" i="1"/>
  <c r="AA428" i="1"/>
  <c r="Z428" i="1"/>
  <c r="AG427" i="1"/>
  <c r="AF427" i="1"/>
  <c r="AE427" i="1"/>
  <c r="AD427" i="1"/>
  <c r="AC427" i="1"/>
  <c r="AB427" i="1"/>
  <c r="AA427" i="1"/>
  <c r="Z427" i="1"/>
  <c r="AG426" i="1"/>
  <c r="AF426" i="1"/>
  <c r="AE426" i="1"/>
  <c r="AD426" i="1"/>
  <c r="AC426" i="1"/>
  <c r="AB426" i="1"/>
  <c r="AA426" i="1"/>
  <c r="Z426" i="1"/>
  <c r="AG425" i="1"/>
  <c r="AF425" i="1"/>
  <c r="AE425" i="1"/>
  <c r="AD425" i="1"/>
  <c r="AC425" i="1"/>
  <c r="AB425" i="1"/>
  <c r="AA425" i="1"/>
  <c r="Z425" i="1"/>
  <c r="AG424" i="1"/>
  <c r="AF424" i="1"/>
  <c r="AE424" i="1"/>
  <c r="AD424" i="1"/>
  <c r="AC424" i="1"/>
  <c r="AB424" i="1"/>
  <c r="AA424" i="1"/>
  <c r="Z424" i="1"/>
  <c r="AG423" i="1"/>
  <c r="AF423" i="1"/>
  <c r="AE423" i="1"/>
  <c r="AD423" i="1"/>
  <c r="AC423" i="1"/>
  <c r="AB423" i="1"/>
  <c r="AA423" i="1"/>
  <c r="Z423" i="1"/>
  <c r="AG422" i="1"/>
  <c r="AF422" i="1"/>
  <c r="AE422" i="1"/>
  <c r="AD422" i="1"/>
  <c r="AC422" i="1"/>
  <c r="AB422" i="1"/>
  <c r="AA422" i="1"/>
  <c r="Z422" i="1"/>
  <c r="AG421" i="1"/>
  <c r="AF421" i="1"/>
  <c r="AE421" i="1"/>
  <c r="AD421" i="1"/>
  <c r="AC421" i="1"/>
  <c r="AB421" i="1"/>
  <c r="AA421" i="1"/>
  <c r="Z421" i="1"/>
  <c r="AG420" i="1"/>
  <c r="AF420" i="1"/>
  <c r="AE420" i="1"/>
  <c r="AD420" i="1"/>
  <c r="AC420" i="1"/>
  <c r="AB420" i="1"/>
  <c r="AA420" i="1"/>
  <c r="Z420" i="1"/>
  <c r="AG419" i="1"/>
  <c r="AF419" i="1"/>
  <c r="AE419" i="1"/>
  <c r="AD419" i="1"/>
  <c r="AC419" i="1"/>
  <c r="AB419" i="1"/>
  <c r="AA419" i="1"/>
  <c r="Z419" i="1"/>
  <c r="AG418" i="1"/>
  <c r="AF418" i="1"/>
  <c r="AE418" i="1"/>
  <c r="AD418" i="1"/>
  <c r="AC418" i="1"/>
  <c r="AB418" i="1"/>
  <c r="AA418" i="1"/>
  <c r="Z418" i="1"/>
  <c r="AG417" i="1"/>
  <c r="AF417" i="1"/>
  <c r="AE417" i="1"/>
  <c r="AD417" i="1"/>
  <c r="AC417" i="1"/>
  <c r="AB417" i="1"/>
  <c r="AA417" i="1"/>
  <c r="Z417" i="1"/>
  <c r="AG416" i="1"/>
  <c r="AF416" i="1"/>
  <c r="AE416" i="1"/>
  <c r="AD416" i="1"/>
  <c r="AC416" i="1"/>
  <c r="AB416" i="1"/>
  <c r="AA416" i="1"/>
  <c r="Z416" i="1"/>
  <c r="AG415" i="1"/>
  <c r="AF415" i="1"/>
  <c r="AE415" i="1"/>
  <c r="AD415" i="1"/>
  <c r="AC415" i="1"/>
  <c r="AB415" i="1"/>
  <c r="AA415" i="1"/>
  <c r="Z415" i="1"/>
  <c r="AG414" i="1"/>
  <c r="AF414" i="1"/>
  <c r="AE414" i="1"/>
  <c r="AD414" i="1"/>
  <c r="AC414" i="1"/>
  <c r="AB414" i="1"/>
  <c r="AA414" i="1"/>
  <c r="Z414" i="1"/>
  <c r="AG413" i="1"/>
  <c r="AF413" i="1"/>
  <c r="AE413" i="1"/>
  <c r="AD413" i="1"/>
  <c r="AC413" i="1"/>
  <c r="AB413" i="1"/>
  <c r="AA413" i="1"/>
  <c r="Z413" i="1"/>
  <c r="AG412" i="1"/>
  <c r="AF412" i="1"/>
  <c r="AE412" i="1"/>
  <c r="AD412" i="1"/>
  <c r="AC412" i="1"/>
  <c r="AB412" i="1"/>
  <c r="AA412" i="1"/>
  <c r="Z412" i="1"/>
  <c r="AG411" i="1"/>
  <c r="AF411" i="1"/>
  <c r="AE411" i="1"/>
  <c r="AD411" i="1"/>
  <c r="AC411" i="1"/>
  <c r="AB411" i="1"/>
  <c r="AA411" i="1"/>
  <c r="Z411" i="1"/>
  <c r="AG410" i="1"/>
  <c r="AF410" i="1"/>
  <c r="AE410" i="1"/>
  <c r="AD410" i="1"/>
  <c r="AC410" i="1"/>
  <c r="AB410" i="1"/>
  <c r="AA410" i="1"/>
  <c r="Z410" i="1"/>
  <c r="AG409" i="1"/>
  <c r="AF409" i="1"/>
  <c r="AE409" i="1"/>
  <c r="AD409" i="1"/>
  <c r="AC409" i="1"/>
  <c r="AB409" i="1"/>
  <c r="AA409" i="1"/>
  <c r="Z409" i="1"/>
  <c r="AG408" i="1"/>
  <c r="AF408" i="1"/>
  <c r="AE408" i="1"/>
  <c r="AD408" i="1"/>
  <c r="AC408" i="1"/>
  <c r="AB408" i="1"/>
  <c r="AA408" i="1"/>
  <c r="Z408" i="1"/>
  <c r="AG407" i="1"/>
  <c r="AF407" i="1"/>
  <c r="AE407" i="1"/>
  <c r="AD407" i="1"/>
  <c r="AC407" i="1"/>
  <c r="AB407" i="1"/>
  <c r="AA407" i="1"/>
  <c r="Z407" i="1"/>
  <c r="AG406" i="1"/>
  <c r="AF406" i="1"/>
  <c r="AE406" i="1"/>
  <c r="AD406" i="1"/>
  <c r="AC406" i="1"/>
  <c r="AB406" i="1"/>
  <c r="AA406" i="1"/>
  <c r="Z406" i="1"/>
  <c r="AG405" i="1"/>
  <c r="AF405" i="1"/>
  <c r="AE405" i="1"/>
  <c r="AD405" i="1"/>
  <c r="AC405" i="1"/>
  <c r="AB405" i="1"/>
  <c r="AA405" i="1"/>
  <c r="Z405" i="1"/>
  <c r="AG404" i="1"/>
  <c r="AF404" i="1"/>
  <c r="AE404" i="1"/>
  <c r="AD404" i="1"/>
  <c r="AC404" i="1"/>
  <c r="AB404" i="1"/>
  <c r="AA404" i="1"/>
  <c r="Z404" i="1"/>
  <c r="AG403" i="1"/>
  <c r="AF403" i="1"/>
  <c r="AE403" i="1"/>
  <c r="AD403" i="1"/>
  <c r="AC403" i="1"/>
  <c r="AB403" i="1"/>
  <c r="AA403" i="1"/>
  <c r="Z403" i="1"/>
  <c r="AG402" i="1"/>
  <c r="AF402" i="1"/>
  <c r="AE402" i="1"/>
  <c r="AD402" i="1"/>
  <c r="AC402" i="1"/>
  <c r="AB402" i="1"/>
  <c r="AA402" i="1"/>
  <c r="Z402" i="1"/>
  <c r="AG401" i="1"/>
  <c r="AF401" i="1"/>
  <c r="AE401" i="1"/>
  <c r="AD401" i="1"/>
  <c r="AC401" i="1"/>
  <c r="AB401" i="1"/>
  <c r="AA401" i="1"/>
  <c r="Z401" i="1"/>
  <c r="AG400" i="1"/>
  <c r="AF400" i="1"/>
  <c r="AE400" i="1"/>
  <c r="AD400" i="1"/>
  <c r="AC400" i="1"/>
  <c r="AB400" i="1"/>
  <c r="AA400" i="1"/>
  <c r="Z400" i="1"/>
  <c r="AG399" i="1"/>
  <c r="AF399" i="1"/>
  <c r="AE399" i="1"/>
  <c r="AD399" i="1"/>
  <c r="AC399" i="1"/>
  <c r="AB399" i="1"/>
  <c r="AA399" i="1"/>
  <c r="Z399" i="1"/>
  <c r="AG398" i="1"/>
  <c r="AF398" i="1"/>
  <c r="AE398" i="1"/>
  <c r="AD398" i="1"/>
  <c r="AC398" i="1"/>
  <c r="AB398" i="1"/>
  <c r="AA398" i="1"/>
  <c r="Z398" i="1"/>
  <c r="AG397" i="1"/>
  <c r="AF397" i="1"/>
  <c r="AE397" i="1"/>
  <c r="AD397" i="1"/>
  <c r="AC397" i="1"/>
  <c r="AB397" i="1"/>
  <c r="AA397" i="1"/>
  <c r="Z397" i="1"/>
  <c r="AG396" i="1"/>
  <c r="AF396" i="1"/>
  <c r="AE396" i="1"/>
  <c r="AD396" i="1"/>
  <c r="AC396" i="1"/>
  <c r="AB396" i="1"/>
  <c r="AA396" i="1"/>
  <c r="Z396" i="1"/>
  <c r="AG395" i="1"/>
  <c r="AF395" i="1"/>
  <c r="AE395" i="1"/>
  <c r="AD395" i="1"/>
  <c r="AC395" i="1"/>
  <c r="AB395" i="1"/>
  <c r="AA395" i="1"/>
  <c r="Z395" i="1"/>
  <c r="AG394" i="1"/>
  <c r="AF394" i="1"/>
  <c r="AE394" i="1"/>
  <c r="AD394" i="1"/>
  <c r="AC394" i="1"/>
  <c r="AB394" i="1"/>
  <c r="AA394" i="1"/>
  <c r="Z394" i="1"/>
  <c r="AG393" i="1"/>
  <c r="AF393" i="1"/>
  <c r="AE393" i="1"/>
  <c r="AD393" i="1"/>
  <c r="AC393" i="1"/>
  <c r="AB393" i="1"/>
  <c r="AA393" i="1"/>
  <c r="Z393" i="1"/>
  <c r="AG392" i="1"/>
  <c r="AF392" i="1"/>
  <c r="AE392" i="1"/>
  <c r="AD392" i="1"/>
  <c r="AC392" i="1"/>
  <c r="AB392" i="1"/>
  <c r="AA392" i="1"/>
  <c r="Z392" i="1"/>
  <c r="AG391" i="1"/>
  <c r="AF391" i="1"/>
  <c r="AE391" i="1"/>
  <c r="AD391" i="1"/>
  <c r="AC391" i="1"/>
  <c r="AB391" i="1"/>
  <c r="AA391" i="1"/>
  <c r="Z391" i="1"/>
  <c r="AG390" i="1"/>
  <c r="AF390" i="1"/>
  <c r="AE390" i="1"/>
  <c r="AD390" i="1"/>
  <c r="AC390" i="1"/>
  <c r="AB390" i="1"/>
  <c r="AA390" i="1"/>
  <c r="Z390" i="1"/>
  <c r="AG389" i="1"/>
  <c r="AF389" i="1"/>
  <c r="AE389" i="1"/>
  <c r="AD389" i="1"/>
  <c r="AC389" i="1"/>
  <c r="AB389" i="1"/>
  <c r="AA389" i="1"/>
  <c r="Z389" i="1"/>
  <c r="AG388" i="1"/>
  <c r="AF388" i="1"/>
  <c r="AE388" i="1"/>
  <c r="AD388" i="1"/>
  <c r="AC388" i="1"/>
  <c r="AB388" i="1"/>
  <c r="AA388" i="1"/>
  <c r="Z388" i="1"/>
  <c r="AG387" i="1"/>
  <c r="AF387" i="1"/>
  <c r="AE387" i="1"/>
  <c r="AD387" i="1"/>
  <c r="AC387" i="1"/>
  <c r="AB387" i="1"/>
  <c r="AA387" i="1"/>
  <c r="Z387" i="1"/>
  <c r="AG386" i="1"/>
  <c r="AF386" i="1"/>
  <c r="AE386" i="1"/>
  <c r="AD386" i="1"/>
  <c r="AC386" i="1"/>
  <c r="AB386" i="1"/>
  <c r="AA386" i="1"/>
  <c r="Z386" i="1"/>
  <c r="AG385" i="1"/>
  <c r="AF385" i="1"/>
  <c r="AE385" i="1"/>
  <c r="AD385" i="1"/>
  <c r="AC385" i="1"/>
  <c r="AB385" i="1"/>
  <c r="AA385" i="1"/>
  <c r="Z385" i="1"/>
  <c r="AG384" i="1"/>
  <c r="AF384" i="1"/>
  <c r="AE384" i="1"/>
  <c r="AD384" i="1"/>
  <c r="AC384" i="1"/>
  <c r="AB384" i="1"/>
  <c r="AA384" i="1"/>
  <c r="Z384" i="1"/>
  <c r="AG383" i="1"/>
  <c r="AF383" i="1"/>
  <c r="AE383" i="1"/>
  <c r="AD383" i="1"/>
  <c r="AC383" i="1"/>
  <c r="AB383" i="1"/>
  <c r="AA383" i="1"/>
  <c r="Z383" i="1"/>
  <c r="AG382" i="1"/>
  <c r="AF382" i="1"/>
  <c r="AE382" i="1"/>
  <c r="AD382" i="1"/>
  <c r="AC382" i="1"/>
  <c r="AB382" i="1"/>
  <c r="AA382" i="1"/>
  <c r="Z382" i="1"/>
  <c r="AG381" i="1"/>
  <c r="AF381" i="1"/>
  <c r="AE381" i="1"/>
  <c r="AD381" i="1"/>
  <c r="AC381" i="1"/>
  <c r="AB381" i="1"/>
  <c r="AA381" i="1"/>
  <c r="Z381" i="1"/>
  <c r="AG380" i="1"/>
  <c r="AF380" i="1"/>
  <c r="AE380" i="1"/>
  <c r="AD380" i="1"/>
  <c r="AC380" i="1"/>
  <c r="AB380" i="1"/>
  <c r="AA380" i="1"/>
  <c r="Z380" i="1"/>
  <c r="AG379" i="1"/>
  <c r="AF379" i="1"/>
  <c r="AE379" i="1"/>
  <c r="AD379" i="1"/>
  <c r="AC379" i="1"/>
  <c r="AB379" i="1"/>
  <c r="AA379" i="1"/>
  <c r="Z379" i="1"/>
  <c r="AG378" i="1"/>
  <c r="AF378" i="1"/>
  <c r="AE378" i="1"/>
  <c r="AD378" i="1"/>
  <c r="AC378" i="1"/>
  <c r="AB378" i="1"/>
  <c r="AA378" i="1"/>
  <c r="Z378" i="1"/>
  <c r="AG377" i="1"/>
  <c r="AF377" i="1"/>
  <c r="AE377" i="1"/>
  <c r="AD377" i="1"/>
  <c r="AC377" i="1"/>
  <c r="AB377" i="1"/>
  <c r="AA377" i="1"/>
  <c r="Z377" i="1"/>
  <c r="AG376" i="1"/>
  <c r="AF376" i="1"/>
  <c r="AE376" i="1"/>
  <c r="AD376" i="1"/>
  <c r="AC376" i="1"/>
  <c r="AB376" i="1"/>
  <c r="AA376" i="1"/>
  <c r="Z376" i="1"/>
  <c r="AG375" i="1"/>
  <c r="AF375" i="1"/>
  <c r="AE375" i="1"/>
  <c r="AD375" i="1"/>
  <c r="AC375" i="1"/>
  <c r="AB375" i="1"/>
  <c r="AA375" i="1"/>
  <c r="Z375" i="1"/>
  <c r="AG374" i="1"/>
  <c r="AF374" i="1"/>
  <c r="AE374" i="1"/>
  <c r="AD374" i="1"/>
  <c r="AC374" i="1"/>
  <c r="AB374" i="1"/>
  <c r="AA374" i="1"/>
  <c r="Z374" i="1"/>
  <c r="AG373" i="1"/>
  <c r="AF373" i="1"/>
  <c r="AE373" i="1"/>
  <c r="AD373" i="1"/>
  <c r="AC373" i="1"/>
  <c r="AB373" i="1"/>
  <c r="AA373" i="1"/>
  <c r="Z373" i="1"/>
  <c r="AG372" i="1"/>
  <c r="AF372" i="1"/>
  <c r="AE372" i="1"/>
  <c r="AD372" i="1"/>
  <c r="AC372" i="1"/>
  <c r="AB372" i="1"/>
  <c r="AA372" i="1"/>
  <c r="Z372" i="1"/>
  <c r="AG371" i="1"/>
  <c r="AF371" i="1"/>
  <c r="AD371" i="1"/>
  <c r="AC371" i="1"/>
  <c r="AB371" i="1"/>
  <c r="AA371" i="1"/>
  <c r="Z371" i="1"/>
  <c r="AG370" i="1"/>
  <c r="AF370" i="1"/>
  <c r="AE370" i="1"/>
  <c r="AD370" i="1"/>
  <c r="AC370" i="1"/>
  <c r="AB370" i="1"/>
  <c r="AA370" i="1"/>
  <c r="Z370" i="1"/>
  <c r="AG369" i="1"/>
  <c r="AF369" i="1"/>
  <c r="AE369" i="1"/>
  <c r="AD369" i="1"/>
  <c r="AC369" i="1"/>
  <c r="AB369" i="1"/>
  <c r="AA369" i="1"/>
  <c r="Z369" i="1"/>
  <c r="AG368" i="1"/>
  <c r="AF368" i="1"/>
  <c r="AE368" i="1"/>
  <c r="AD368" i="1"/>
  <c r="AC368" i="1"/>
  <c r="AB368" i="1"/>
  <c r="AA368" i="1"/>
  <c r="Z368" i="1"/>
  <c r="AG367" i="1"/>
  <c r="AF367" i="1"/>
  <c r="AE367" i="1"/>
  <c r="AD367" i="1"/>
  <c r="AC367" i="1"/>
  <c r="AB367" i="1"/>
  <c r="AA367" i="1"/>
  <c r="Z367" i="1"/>
  <c r="AG366" i="1"/>
  <c r="AF366" i="1"/>
  <c r="AE366" i="1"/>
  <c r="AD366" i="1"/>
  <c r="AC366" i="1"/>
  <c r="AB366" i="1"/>
  <c r="AA366" i="1"/>
  <c r="Z366" i="1"/>
  <c r="AG365" i="1"/>
  <c r="AF365" i="1"/>
  <c r="AE365" i="1"/>
  <c r="AD365" i="1"/>
  <c r="AC365" i="1"/>
  <c r="AB365" i="1"/>
  <c r="AA365" i="1"/>
  <c r="Z365" i="1"/>
  <c r="AG364" i="1"/>
  <c r="AF364" i="1"/>
  <c r="AE364" i="1"/>
  <c r="AD364" i="1"/>
  <c r="AC364" i="1"/>
  <c r="AB364" i="1"/>
  <c r="AA364" i="1"/>
  <c r="Z364" i="1"/>
  <c r="AG363" i="1"/>
  <c r="AF363" i="1"/>
  <c r="AE363" i="1"/>
  <c r="AD363" i="1"/>
  <c r="AC363" i="1"/>
  <c r="AB363" i="1"/>
  <c r="AA363" i="1"/>
  <c r="Z363" i="1"/>
  <c r="AG362" i="1"/>
  <c r="AF362" i="1"/>
  <c r="AE362" i="1"/>
  <c r="AD362" i="1"/>
  <c r="AC362" i="1"/>
  <c r="AB362" i="1"/>
  <c r="AA362" i="1"/>
  <c r="Z362" i="1"/>
  <c r="AG361" i="1"/>
  <c r="AF361" i="1"/>
  <c r="AE361" i="1"/>
  <c r="AD361" i="1"/>
  <c r="AC361" i="1"/>
  <c r="AB361" i="1"/>
  <c r="AA361" i="1"/>
  <c r="Z361" i="1"/>
  <c r="AG360" i="1"/>
  <c r="AF360" i="1"/>
  <c r="AE360" i="1"/>
  <c r="AD360" i="1"/>
  <c r="AC360" i="1"/>
  <c r="AB360" i="1"/>
  <c r="AA360" i="1"/>
  <c r="Z360" i="1"/>
  <c r="AG359" i="1"/>
  <c r="AF359" i="1"/>
  <c r="AE359" i="1"/>
  <c r="AD359" i="1"/>
  <c r="AC359" i="1"/>
  <c r="AB359" i="1"/>
  <c r="AA359" i="1"/>
  <c r="Z359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M10" i="12"/>
  <c r="P10" i="12"/>
  <c r="Q10" i="12"/>
  <c r="M11" i="12"/>
  <c r="M9" i="12"/>
  <c r="P11" i="12"/>
  <c r="Q11" i="12"/>
  <c r="M13" i="12"/>
  <c r="M12" i="12"/>
  <c r="P13" i="12"/>
  <c r="Q13" i="12"/>
  <c r="M14" i="12"/>
  <c r="P14" i="12"/>
  <c r="Q14" i="12"/>
  <c r="Q12" i="12"/>
  <c r="M17" i="12"/>
  <c r="M16" i="12"/>
  <c r="P17" i="12"/>
  <c r="Q17" i="12"/>
  <c r="M18" i="12"/>
  <c r="P18" i="12"/>
  <c r="Q18" i="12"/>
  <c r="Q16" i="12"/>
  <c r="M20" i="12"/>
  <c r="P20" i="12"/>
  <c r="Q20" i="12"/>
  <c r="Q19" i="12"/>
  <c r="M21" i="12"/>
  <c r="M19" i="12"/>
  <c r="P21" i="12"/>
  <c r="Q21" i="12"/>
  <c r="Q15" i="12"/>
  <c r="M24" i="12"/>
  <c r="P24" i="12"/>
  <c r="Q24" i="12"/>
  <c r="Q23" i="12"/>
  <c r="M25" i="12"/>
  <c r="M23" i="12"/>
  <c r="P25" i="12"/>
  <c r="Q25" i="12"/>
  <c r="M27" i="12"/>
  <c r="M26" i="12"/>
  <c r="P27" i="12"/>
  <c r="Q27" i="12"/>
  <c r="Q26" i="12"/>
  <c r="M28" i="12"/>
  <c r="P28" i="12"/>
  <c r="Q28" i="12"/>
  <c r="M31" i="12"/>
  <c r="M30" i="12"/>
  <c r="P31" i="12"/>
  <c r="Q31" i="12"/>
  <c r="Q30" i="12"/>
  <c r="M32" i="12"/>
  <c r="P32" i="12"/>
  <c r="Q32" i="12"/>
  <c r="M34" i="12"/>
  <c r="P34" i="12"/>
  <c r="Q34" i="12"/>
  <c r="M35" i="12"/>
  <c r="M33" i="12"/>
  <c r="P35" i="12"/>
  <c r="Q35" i="12"/>
  <c r="M38" i="12"/>
  <c r="P38" i="12"/>
  <c r="M39" i="12"/>
  <c r="P39" i="12"/>
  <c r="Q39" i="12"/>
  <c r="M41" i="12"/>
  <c r="P41" i="12"/>
  <c r="Q41" i="12"/>
  <c r="M42" i="12"/>
  <c r="P42" i="12"/>
  <c r="Q42" i="12"/>
  <c r="Q40" i="12"/>
  <c r="M45" i="12"/>
  <c r="M44" i="12"/>
  <c r="P45" i="12"/>
  <c r="Q45" i="12"/>
  <c r="M46" i="12"/>
  <c r="P46" i="12"/>
  <c r="Q46" i="12"/>
  <c r="Q44" i="12"/>
  <c r="M48" i="12"/>
  <c r="P48" i="12"/>
  <c r="Q48" i="12"/>
  <c r="Q47" i="12"/>
  <c r="M49" i="12"/>
  <c r="M47" i="12"/>
  <c r="P49" i="12"/>
  <c r="Q49" i="12"/>
  <c r="Q43" i="12"/>
  <c r="N9" i="12"/>
  <c r="N12" i="12"/>
  <c r="N8" i="12"/>
  <c r="O9" i="12"/>
  <c r="O12" i="12"/>
  <c r="O8" i="12"/>
  <c r="P8" i="12"/>
  <c r="N16" i="12"/>
  <c r="N19" i="12"/>
  <c r="N15" i="12"/>
  <c r="P15" i="12"/>
  <c r="O16" i="12"/>
  <c r="O19" i="12"/>
  <c r="O15" i="12"/>
  <c r="N23" i="12"/>
  <c r="N26" i="12"/>
  <c r="N22" i="12"/>
  <c r="P22" i="12"/>
  <c r="O23" i="12"/>
  <c r="O26" i="12"/>
  <c r="O22" i="12"/>
  <c r="N30" i="12"/>
  <c r="N33" i="12"/>
  <c r="N29" i="12"/>
  <c r="O30" i="12"/>
  <c r="O33" i="12"/>
  <c r="O29" i="12"/>
  <c r="N37" i="12"/>
  <c r="N40" i="12"/>
  <c r="N36" i="12"/>
  <c r="O37" i="12"/>
  <c r="O40" i="12"/>
  <c r="O36" i="12"/>
  <c r="P36" i="12"/>
  <c r="N44" i="12"/>
  <c r="N47" i="12"/>
  <c r="N43" i="12"/>
  <c r="P43" i="12"/>
  <c r="O44" i="12"/>
  <c r="O47" i="12"/>
  <c r="O43" i="12"/>
  <c r="K9" i="12"/>
  <c r="K12" i="12"/>
  <c r="K8" i="12"/>
  <c r="L9" i="12"/>
  <c r="L12" i="12"/>
  <c r="L8" i="12"/>
  <c r="K19" i="12"/>
  <c r="K15" i="12"/>
  <c r="L19" i="12"/>
  <c r="L15" i="12"/>
  <c r="M15" i="12"/>
  <c r="K23" i="12"/>
  <c r="K26" i="12"/>
  <c r="K22" i="12"/>
  <c r="L23" i="12"/>
  <c r="L26" i="12"/>
  <c r="L22" i="12"/>
  <c r="K30" i="12"/>
  <c r="K33" i="12"/>
  <c r="K29" i="12"/>
  <c r="L30" i="12"/>
  <c r="L33" i="12"/>
  <c r="L29" i="12"/>
  <c r="M29" i="12"/>
  <c r="K37" i="12"/>
  <c r="K40" i="12"/>
  <c r="K36" i="12"/>
  <c r="M36" i="12"/>
  <c r="L37" i="12"/>
  <c r="L40" i="12"/>
  <c r="L36" i="12"/>
  <c r="K44" i="12"/>
  <c r="K47" i="12"/>
  <c r="K43" i="12"/>
  <c r="M43" i="12"/>
  <c r="L44" i="12"/>
  <c r="L47" i="12"/>
  <c r="L43" i="12"/>
  <c r="L50" i="12"/>
  <c r="P44" i="12"/>
  <c r="P40" i="12"/>
  <c r="P33" i="12"/>
  <c r="P26" i="12"/>
  <c r="P19" i="12"/>
  <c r="P16" i="12"/>
  <c r="P12" i="12"/>
  <c r="P9" i="12"/>
  <c r="AD9" i="12"/>
  <c r="AD12" i="12"/>
  <c r="AD8" i="12"/>
  <c r="AF8" i="12"/>
  <c r="AE9" i="12"/>
  <c r="AE12" i="12"/>
  <c r="AE8" i="12"/>
  <c r="AG9" i="12"/>
  <c r="AG12" i="12"/>
  <c r="AG8" i="12"/>
  <c r="AH9" i="12"/>
  <c r="AH12" i="12"/>
  <c r="AH8" i="12"/>
  <c r="AD16" i="12"/>
  <c r="AD19" i="12"/>
  <c r="AD15" i="12"/>
  <c r="AE16" i="12"/>
  <c r="AE19" i="12"/>
  <c r="AE15" i="12"/>
  <c r="AG16" i="12"/>
  <c r="AG19" i="12"/>
  <c r="AG15" i="12"/>
  <c r="AH16" i="12"/>
  <c r="AH19" i="12"/>
  <c r="AH15" i="12"/>
  <c r="AI15" i="12"/>
  <c r="AD23" i="12"/>
  <c r="AD26" i="12"/>
  <c r="AD22" i="12"/>
  <c r="AE23" i="12"/>
  <c r="AE26" i="12"/>
  <c r="AE22" i="12"/>
  <c r="AF22" i="12"/>
  <c r="AG23" i="12"/>
  <c r="AG26" i="12"/>
  <c r="AG22" i="12"/>
  <c r="AI22" i="12"/>
  <c r="AH23" i="12"/>
  <c r="AH26" i="12"/>
  <c r="AH22" i="12"/>
  <c r="AJ22" i="12"/>
  <c r="AD30" i="12"/>
  <c r="AD33" i="12"/>
  <c r="AD29" i="12"/>
  <c r="AF29" i="12"/>
  <c r="AE30" i="12"/>
  <c r="AE33" i="12"/>
  <c r="AE29" i="12"/>
  <c r="AG30" i="12"/>
  <c r="AG33" i="12"/>
  <c r="AG29" i="12"/>
  <c r="AI29" i="12"/>
  <c r="AH30" i="12"/>
  <c r="AH33" i="12"/>
  <c r="AH29" i="12"/>
  <c r="AD37" i="12"/>
  <c r="AD40" i="12"/>
  <c r="AD36" i="12"/>
  <c r="AF36" i="12"/>
  <c r="AE37" i="12"/>
  <c r="AE40" i="12"/>
  <c r="AE36" i="12"/>
  <c r="AG37" i="12"/>
  <c r="AG40" i="12"/>
  <c r="AG36" i="12"/>
  <c r="AH37" i="12"/>
  <c r="AH40" i="12"/>
  <c r="AH36" i="12"/>
  <c r="AD44" i="12"/>
  <c r="AD47" i="12"/>
  <c r="AD43" i="12"/>
  <c r="AE44" i="12"/>
  <c r="AE47" i="12"/>
  <c r="AE43" i="12"/>
  <c r="AG44" i="12"/>
  <c r="AG47" i="12"/>
  <c r="AG43" i="12"/>
  <c r="AH44" i="12"/>
  <c r="AH47" i="12"/>
  <c r="AH43" i="12"/>
  <c r="AI43" i="12"/>
  <c r="AH50" i="12"/>
  <c r="AD50" i="12"/>
  <c r="AF49" i="12"/>
  <c r="AI49" i="12"/>
  <c r="AJ49" i="12"/>
  <c r="AF48" i="12"/>
  <c r="AF47" i="12"/>
  <c r="AI48" i="12"/>
  <c r="AJ48" i="12"/>
  <c r="AI47" i="12"/>
  <c r="AF46" i="12"/>
  <c r="AI46" i="12"/>
  <c r="AJ46" i="12"/>
  <c r="AF45" i="12"/>
  <c r="AI45" i="12"/>
  <c r="AF44" i="12"/>
  <c r="AF42" i="12"/>
  <c r="AI42" i="12"/>
  <c r="AJ42" i="12"/>
  <c r="AF41" i="12"/>
  <c r="AF40" i="12"/>
  <c r="AJ40" i="12"/>
  <c r="AI41" i="12"/>
  <c r="AJ41" i="12"/>
  <c r="AI40" i="12"/>
  <c r="AF39" i="12"/>
  <c r="AF37" i="12"/>
  <c r="AI39" i="12"/>
  <c r="AJ39" i="12"/>
  <c r="AF38" i="12"/>
  <c r="AI38" i="12"/>
  <c r="AF35" i="12"/>
  <c r="AI35" i="12"/>
  <c r="AJ35" i="12"/>
  <c r="AF34" i="12"/>
  <c r="AF33" i="12"/>
  <c r="AI34" i="12"/>
  <c r="AJ34" i="12"/>
  <c r="AI33" i="12"/>
  <c r="AF32" i="12"/>
  <c r="AI32" i="12"/>
  <c r="AJ32" i="12"/>
  <c r="AF31" i="12"/>
  <c r="AI31" i="12"/>
  <c r="AF30" i="12"/>
  <c r="AF28" i="12"/>
  <c r="AI28" i="12"/>
  <c r="AJ28" i="12"/>
  <c r="AF27" i="12"/>
  <c r="AF26" i="12"/>
  <c r="AJ26" i="12"/>
  <c r="AI27" i="12"/>
  <c r="AJ27" i="12"/>
  <c r="AI26" i="12"/>
  <c r="AF25" i="12"/>
  <c r="AF23" i="12"/>
  <c r="AI25" i="12"/>
  <c r="AJ25" i="12"/>
  <c r="AF24" i="12"/>
  <c r="AI24" i="12"/>
  <c r="AF21" i="12"/>
  <c r="AI21" i="12"/>
  <c r="AJ21" i="12"/>
  <c r="AF20" i="12"/>
  <c r="AF19" i="12"/>
  <c r="AI20" i="12"/>
  <c r="AJ20" i="12"/>
  <c r="AI19" i="12"/>
  <c r="AF18" i="12"/>
  <c r="AI18" i="12"/>
  <c r="AJ18" i="12"/>
  <c r="AF17" i="12"/>
  <c r="AI17" i="12"/>
  <c r="AF16" i="12"/>
  <c r="AF14" i="12"/>
  <c r="AI14" i="12"/>
  <c r="AJ14" i="12"/>
  <c r="AF13" i="12"/>
  <c r="AF12" i="12"/>
  <c r="AJ12" i="12"/>
  <c r="AI13" i="12"/>
  <c r="AJ13" i="12"/>
  <c r="AI12" i="12"/>
  <c r="AF11" i="12"/>
  <c r="AF9" i="12"/>
  <c r="AI11" i="12"/>
  <c r="AJ11" i="12"/>
  <c r="AF10" i="12"/>
  <c r="AI10" i="12"/>
  <c r="B56" i="12"/>
  <c r="B55" i="12"/>
  <c r="K7" i="7"/>
  <c r="K10" i="7"/>
  <c r="K6" i="7"/>
  <c r="L7" i="7"/>
  <c r="L10" i="7"/>
  <c r="L6" i="7"/>
  <c r="N7" i="7"/>
  <c r="N10" i="7"/>
  <c r="N6" i="7"/>
  <c r="N48" i="7"/>
  <c r="O7" i="7"/>
  <c r="O10" i="7"/>
  <c r="O6" i="7"/>
  <c r="M8" i="7"/>
  <c r="M9" i="7"/>
  <c r="M7" i="7"/>
  <c r="M11" i="7"/>
  <c r="M12" i="7"/>
  <c r="M10" i="7"/>
  <c r="K14" i="7"/>
  <c r="K17" i="7"/>
  <c r="K13" i="7"/>
  <c r="M13" i="7"/>
  <c r="L14" i="7"/>
  <c r="L17" i="7"/>
  <c r="L13" i="7"/>
  <c r="N14" i="7"/>
  <c r="N17" i="7"/>
  <c r="N13" i="7"/>
  <c r="O14" i="7"/>
  <c r="O17" i="7"/>
  <c r="O13" i="7"/>
  <c r="P13" i="7"/>
  <c r="M15" i="7"/>
  <c r="M16" i="7"/>
  <c r="M14" i="7"/>
  <c r="M18" i="7"/>
  <c r="M19" i="7"/>
  <c r="M17" i="7"/>
  <c r="K21" i="7"/>
  <c r="K24" i="7"/>
  <c r="K20" i="7"/>
  <c r="L21" i="7"/>
  <c r="L24" i="7"/>
  <c r="L20" i="7"/>
  <c r="N21" i="7"/>
  <c r="N24" i="7"/>
  <c r="N20" i="7"/>
  <c r="O21" i="7"/>
  <c r="O24" i="7"/>
  <c r="O20" i="7"/>
  <c r="M22" i="7"/>
  <c r="M23" i="7"/>
  <c r="M21" i="7"/>
  <c r="M25" i="7"/>
  <c r="M26" i="7"/>
  <c r="M24" i="7"/>
  <c r="K28" i="7"/>
  <c r="K31" i="7"/>
  <c r="K27" i="7"/>
  <c r="L28" i="7"/>
  <c r="L31" i="7"/>
  <c r="L27" i="7"/>
  <c r="M27" i="7"/>
  <c r="N28" i="7"/>
  <c r="N31" i="7"/>
  <c r="N27" i="7"/>
  <c r="P27" i="7"/>
  <c r="O28" i="7"/>
  <c r="O31" i="7"/>
  <c r="O27" i="7"/>
  <c r="M29" i="7"/>
  <c r="M30" i="7"/>
  <c r="M28" i="7"/>
  <c r="M32" i="7"/>
  <c r="M33" i="7"/>
  <c r="M31" i="7"/>
  <c r="K35" i="7"/>
  <c r="K38" i="7"/>
  <c r="K34" i="7"/>
  <c r="M34" i="7"/>
  <c r="L35" i="7"/>
  <c r="L38" i="7"/>
  <c r="L34" i="7"/>
  <c r="N35" i="7"/>
  <c r="N38" i="7"/>
  <c r="N34" i="7"/>
  <c r="P34" i="7"/>
  <c r="O35" i="7"/>
  <c r="O38" i="7"/>
  <c r="O34" i="7"/>
  <c r="M36" i="7"/>
  <c r="M37" i="7"/>
  <c r="M35" i="7"/>
  <c r="M39" i="7"/>
  <c r="M40" i="7"/>
  <c r="M38" i="7"/>
  <c r="K42" i="7"/>
  <c r="K45" i="7"/>
  <c r="K41" i="7"/>
  <c r="M41" i="7"/>
  <c r="L42" i="7"/>
  <c r="L45" i="7"/>
  <c r="L41" i="7"/>
  <c r="N42" i="7"/>
  <c r="N45" i="7"/>
  <c r="N41" i="7"/>
  <c r="O42" i="7"/>
  <c r="O45" i="7"/>
  <c r="O41" i="7"/>
  <c r="P41" i="7"/>
  <c r="Q41" i="7"/>
  <c r="M43" i="7"/>
  <c r="M44" i="7"/>
  <c r="M42" i="7"/>
  <c r="M46" i="7"/>
  <c r="M47" i="7"/>
  <c r="M45" i="7"/>
  <c r="L48" i="7"/>
  <c r="U35" i="7"/>
  <c r="U38" i="7"/>
  <c r="U34" i="7"/>
  <c r="Z256" i="1"/>
  <c r="AA256" i="1"/>
  <c r="AB256" i="1"/>
  <c r="AC256" i="1"/>
  <c r="AD256" i="1"/>
  <c r="AE256" i="1"/>
  <c r="AF256" i="1"/>
  <c r="AG256" i="1"/>
  <c r="Z257" i="1"/>
  <c r="AA257" i="1"/>
  <c r="AB257" i="1"/>
  <c r="AC257" i="1"/>
  <c r="AD257" i="1"/>
  <c r="AE257" i="1"/>
  <c r="AF257" i="1"/>
  <c r="AG257" i="1"/>
  <c r="Z258" i="1"/>
  <c r="AA258" i="1"/>
  <c r="AB258" i="1"/>
  <c r="AC258" i="1"/>
  <c r="AD258" i="1"/>
  <c r="AE258" i="1"/>
  <c r="AF258" i="1"/>
  <c r="AG258" i="1"/>
  <c r="Z259" i="1"/>
  <c r="AA259" i="1"/>
  <c r="AB259" i="1"/>
  <c r="AC259" i="1"/>
  <c r="AD259" i="1"/>
  <c r="AE259" i="1"/>
  <c r="AF259" i="1"/>
  <c r="AG259" i="1"/>
  <c r="Z260" i="1"/>
  <c r="AA260" i="1"/>
  <c r="AB260" i="1"/>
  <c r="AC260" i="1"/>
  <c r="AD260" i="1"/>
  <c r="AE260" i="1"/>
  <c r="AF260" i="1"/>
  <c r="AG260" i="1"/>
  <c r="Z261" i="1"/>
  <c r="AA261" i="1"/>
  <c r="AB261" i="1"/>
  <c r="AC261" i="1"/>
  <c r="AD261" i="1"/>
  <c r="AE261" i="1"/>
  <c r="AF261" i="1"/>
  <c r="AG261" i="1"/>
  <c r="Z262" i="1"/>
  <c r="AA262" i="1"/>
  <c r="AB262" i="1"/>
  <c r="AC262" i="1"/>
  <c r="AD262" i="1"/>
  <c r="AE262" i="1"/>
  <c r="AF262" i="1"/>
  <c r="AG262" i="1"/>
  <c r="Z263" i="1"/>
  <c r="AA263" i="1"/>
  <c r="AB263" i="1"/>
  <c r="AC263" i="1"/>
  <c r="AD263" i="1"/>
  <c r="AE263" i="1"/>
  <c r="AF263" i="1"/>
  <c r="AG263" i="1"/>
  <c r="Z264" i="1"/>
  <c r="AA264" i="1"/>
  <c r="AB264" i="1"/>
  <c r="AC264" i="1"/>
  <c r="AD264" i="1"/>
  <c r="AE264" i="1"/>
  <c r="AF264" i="1"/>
  <c r="AG264" i="1"/>
  <c r="Z265" i="1"/>
  <c r="AA265" i="1"/>
  <c r="AB265" i="1"/>
  <c r="AC265" i="1"/>
  <c r="AD265" i="1"/>
  <c r="AE265" i="1"/>
  <c r="AF265" i="1"/>
  <c r="AG265" i="1"/>
  <c r="Z266" i="1"/>
  <c r="AA266" i="1"/>
  <c r="AB266" i="1"/>
  <c r="AC266" i="1"/>
  <c r="AD266" i="1"/>
  <c r="AE266" i="1"/>
  <c r="AF266" i="1"/>
  <c r="AG266" i="1"/>
  <c r="Z267" i="1"/>
  <c r="AA267" i="1"/>
  <c r="AB267" i="1"/>
  <c r="AC267" i="1"/>
  <c r="AD267" i="1"/>
  <c r="AE267" i="1"/>
  <c r="AF267" i="1"/>
  <c r="AG267" i="1"/>
  <c r="Z268" i="1"/>
  <c r="AA268" i="1"/>
  <c r="AB268" i="1"/>
  <c r="AC268" i="1"/>
  <c r="AD268" i="1"/>
  <c r="AE268" i="1"/>
  <c r="AF268" i="1"/>
  <c r="AG268" i="1"/>
  <c r="Z269" i="1"/>
  <c r="AA269" i="1"/>
  <c r="AB269" i="1"/>
  <c r="AC269" i="1"/>
  <c r="AD269" i="1"/>
  <c r="AE269" i="1"/>
  <c r="AF269" i="1"/>
  <c r="AG269" i="1"/>
  <c r="Z270" i="1"/>
  <c r="AA270" i="1"/>
  <c r="AB270" i="1"/>
  <c r="AC270" i="1"/>
  <c r="AD270" i="1"/>
  <c r="AE270" i="1"/>
  <c r="AF270" i="1"/>
  <c r="AG270" i="1"/>
  <c r="Z271" i="1"/>
  <c r="AA271" i="1"/>
  <c r="AB271" i="1"/>
  <c r="AC271" i="1"/>
  <c r="AD271" i="1"/>
  <c r="AE271" i="1"/>
  <c r="AF271" i="1"/>
  <c r="AG271" i="1"/>
  <c r="Z272" i="1"/>
  <c r="AA272" i="1"/>
  <c r="AB272" i="1"/>
  <c r="AC272" i="1"/>
  <c r="AD272" i="1"/>
  <c r="AE272" i="1"/>
  <c r="AF272" i="1"/>
  <c r="AG272" i="1"/>
  <c r="Z273" i="1"/>
  <c r="AA273" i="1"/>
  <c r="AB273" i="1"/>
  <c r="AC273" i="1"/>
  <c r="AD273" i="1"/>
  <c r="AE273" i="1"/>
  <c r="AF273" i="1"/>
  <c r="AG273" i="1"/>
  <c r="Z274" i="1"/>
  <c r="AA274" i="1"/>
  <c r="AB274" i="1"/>
  <c r="AC274" i="1"/>
  <c r="AD274" i="1"/>
  <c r="AE274" i="1"/>
  <c r="AF274" i="1"/>
  <c r="AG274" i="1"/>
  <c r="Z275" i="1"/>
  <c r="AA275" i="1"/>
  <c r="AB275" i="1"/>
  <c r="AC275" i="1"/>
  <c r="AD275" i="1"/>
  <c r="AE275" i="1"/>
  <c r="AF275" i="1"/>
  <c r="AG275" i="1"/>
  <c r="Z276" i="1"/>
  <c r="AA276" i="1"/>
  <c r="AB276" i="1"/>
  <c r="AC276" i="1"/>
  <c r="AD276" i="1"/>
  <c r="AE276" i="1"/>
  <c r="AF276" i="1"/>
  <c r="AG276" i="1"/>
  <c r="Z277" i="1"/>
  <c r="AA277" i="1"/>
  <c r="AB277" i="1"/>
  <c r="AC277" i="1"/>
  <c r="AD277" i="1"/>
  <c r="AE277" i="1"/>
  <c r="AF277" i="1"/>
  <c r="AG277" i="1"/>
  <c r="Z278" i="1"/>
  <c r="AA278" i="1"/>
  <c r="AB278" i="1"/>
  <c r="AC278" i="1"/>
  <c r="AD278" i="1"/>
  <c r="AE278" i="1"/>
  <c r="AF278" i="1"/>
  <c r="AG278" i="1"/>
  <c r="Z279" i="1"/>
  <c r="AA279" i="1"/>
  <c r="AB279" i="1"/>
  <c r="AC279" i="1"/>
  <c r="AD279" i="1"/>
  <c r="AE279" i="1"/>
  <c r="AF279" i="1"/>
  <c r="AG279" i="1"/>
  <c r="Z280" i="1"/>
  <c r="AA280" i="1"/>
  <c r="AB280" i="1"/>
  <c r="AC280" i="1"/>
  <c r="AD280" i="1"/>
  <c r="AE280" i="1"/>
  <c r="AF280" i="1"/>
  <c r="AG280" i="1"/>
  <c r="Z281" i="1"/>
  <c r="AA281" i="1"/>
  <c r="AB281" i="1"/>
  <c r="AC281" i="1"/>
  <c r="AD281" i="1"/>
  <c r="AE281" i="1"/>
  <c r="AF281" i="1"/>
  <c r="AG281" i="1"/>
  <c r="Z282" i="1"/>
  <c r="AA282" i="1"/>
  <c r="AB282" i="1"/>
  <c r="AC282" i="1"/>
  <c r="AD282" i="1"/>
  <c r="AE282" i="1"/>
  <c r="AF282" i="1"/>
  <c r="AG282" i="1"/>
  <c r="Z283" i="1"/>
  <c r="AA283" i="1"/>
  <c r="AB283" i="1"/>
  <c r="AC283" i="1"/>
  <c r="AD283" i="1"/>
  <c r="AE283" i="1"/>
  <c r="AF283" i="1"/>
  <c r="AG283" i="1"/>
  <c r="Z284" i="1"/>
  <c r="AA284" i="1"/>
  <c r="AB284" i="1"/>
  <c r="AC284" i="1"/>
  <c r="AD284" i="1"/>
  <c r="AE284" i="1"/>
  <c r="AF284" i="1"/>
  <c r="AG284" i="1"/>
  <c r="Z285" i="1"/>
  <c r="AA285" i="1"/>
  <c r="AB285" i="1"/>
  <c r="AC285" i="1"/>
  <c r="AD285" i="1"/>
  <c r="AE285" i="1"/>
  <c r="AF285" i="1"/>
  <c r="AG285" i="1"/>
  <c r="Z286" i="1"/>
  <c r="AA286" i="1"/>
  <c r="AB286" i="1"/>
  <c r="AC286" i="1"/>
  <c r="AD286" i="1"/>
  <c r="AE286" i="1"/>
  <c r="AF286" i="1"/>
  <c r="AG286" i="1"/>
  <c r="Z287" i="1"/>
  <c r="AA287" i="1"/>
  <c r="AB287" i="1"/>
  <c r="AC287" i="1"/>
  <c r="AD287" i="1"/>
  <c r="AE287" i="1"/>
  <c r="AF287" i="1"/>
  <c r="AG287" i="1"/>
  <c r="Z288" i="1"/>
  <c r="AA288" i="1"/>
  <c r="AB288" i="1"/>
  <c r="AC288" i="1"/>
  <c r="AD288" i="1"/>
  <c r="AE288" i="1"/>
  <c r="AF288" i="1"/>
  <c r="AG288" i="1"/>
  <c r="Z289" i="1"/>
  <c r="AA289" i="1"/>
  <c r="AB289" i="1"/>
  <c r="AC289" i="1"/>
  <c r="AD289" i="1"/>
  <c r="AE289" i="1"/>
  <c r="AF289" i="1"/>
  <c r="AG289" i="1"/>
  <c r="Z290" i="1"/>
  <c r="AA290" i="1"/>
  <c r="AB290" i="1"/>
  <c r="AC290" i="1"/>
  <c r="AD290" i="1"/>
  <c r="AE290" i="1"/>
  <c r="AF290" i="1"/>
  <c r="AG290" i="1"/>
  <c r="Z291" i="1"/>
  <c r="AA291" i="1"/>
  <c r="AB291" i="1"/>
  <c r="AC291" i="1"/>
  <c r="AD291" i="1"/>
  <c r="AE291" i="1"/>
  <c r="AF291" i="1"/>
  <c r="AG291" i="1"/>
  <c r="Z292" i="1"/>
  <c r="AA292" i="1"/>
  <c r="AB292" i="1"/>
  <c r="AC292" i="1"/>
  <c r="AD292" i="1"/>
  <c r="AE292" i="1"/>
  <c r="AF292" i="1"/>
  <c r="AG292" i="1"/>
  <c r="Z293" i="1"/>
  <c r="AA293" i="1"/>
  <c r="AB293" i="1"/>
  <c r="AC293" i="1"/>
  <c r="AD293" i="1"/>
  <c r="AE293" i="1"/>
  <c r="AF293" i="1"/>
  <c r="AG293" i="1"/>
  <c r="Z294" i="1"/>
  <c r="AA294" i="1"/>
  <c r="AB294" i="1"/>
  <c r="AC294" i="1"/>
  <c r="AD294" i="1"/>
  <c r="AE294" i="1"/>
  <c r="AF294" i="1"/>
  <c r="AG294" i="1"/>
  <c r="Z295" i="1"/>
  <c r="AA295" i="1"/>
  <c r="AB295" i="1"/>
  <c r="AC295" i="1"/>
  <c r="AD295" i="1"/>
  <c r="AE295" i="1"/>
  <c r="AF295" i="1"/>
  <c r="AG295" i="1"/>
  <c r="Z296" i="1"/>
  <c r="AA296" i="1"/>
  <c r="AB296" i="1"/>
  <c r="AC296" i="1"/>
  <c r="AD296" i="1"/>
  <c r="AE296" i="1"/>
  <c r="AF296" i="1"/>
  <c r="AG296" i="1"/>
  <c r="Z297" i="1"/>
  <c r="AA297" i="1"/>
  <c r="AB297" i="1"/>
  <c r="AC297" i="1"/>
  <c r="AD297" i="1"/>
  <c r="AE297" i="1"/>
  <c r="AF297" i="1"/>
  <c r="AG297" i="1"/>
  <c r="Z298" i="1"/>
  <c r="AA298" i="1"/>
  <c r="AB298" i="1"/>
  <c r="AC298" i="1"/>
  <c r="AD298" i="1"/>
  <c r="AE298" i="1"/>
  <c r="AF298" i="1"/>
  <c r="AG298" i="1"/>
  <c r="Z299" i="1"/>
  <c r="AA299" i="1"/>
  <c r="AB299" i="1"/>
  <c r="AC299" i="1"/>
  <c r="AD299" i="1"/>
  <c r="AE299" i="1"/>
  <c r="AF299" i="1"/>
  <c r="AG299" i="1"/>
  <c r="Z300" i="1"/>
  <c r="AA300" i="1"/>
  <c r="AB300" i="1"/>
  <c r="AC300" i="1"/>
  <c r="AD300" i="1"/>
  <c r="AE300" i="1"/>
  <c r="AF300" i="1"/>
  <c r="AG300" i="1"/>
  <c r="Z301" i="1"/>
  <c r="AA301" i="1"/>
  <c r="AB301" i="1"/>
  <c r="AC301" i="1"/>
  <c r="AD301" i="1"/>
  <c r="AE301" i="1"/>
  <c r="AF301" i="1"/>
  <c r="AG301" i="1"/>
  <c r="Z302" i="1"/>
  <c r="AA302" i="1"/>
  <c r="AB302" i="1"/>
  <c r="AC302" i="1"/>
  <c r="AD302" i="1"/>
  <c r="AE302" i="1"/>
  <c r="AF302" i="1"/>
  <c r="AG302" i="1"/>
  <c r="Z303" i="1"/>
  <c r="AA303" i="1"/>
  <c r="AB303" i="1"/>
  <c r="AC303" i="1"/>
  <c r="AD303" i="1"/>
  <c r="AE303" i="1"/>
  <c r="AF303" i="1"/>
  <c r="AG303" i="1"/>
  <c r="Z304" i="1"/>
  <c r="AA304" i="1"/>
  <c r="AB304" i="1"/>
  <c r="AC304" i="1"/>
  <c r="AD304" i="1"/>
  <c r="AE304" i="1"/>
  <c r="AF304" i="1"/>
  <c r="AG304" i="1"/>
  <c r="Z305" i="1"/>
  <c r="AA305" i="1"/>
  <c r="AB305" i="1"/>
  <c r="AC305" i="1"/>
  <c r="AD305" i="1"/>
  <c r="AE305" i="1"/>
  <c r="AF305" i="1"/>
  <c r="AG305" i="1"/>
  <c r="Z306" i="1"/>
  <c r="AA306" i="1"/>
  <c r="AB306" i="1"/>
  <c r="AC306" i="1"/>
  <c r="AD306" i="1"/>
  <c r="AE306" i="1"/>
  <c r="AF306" i="1"/>
  <c r="AG306" i="1"/>
  <c r="Z307" i="1"/>
  <c r="AA307" i="1"/>
  <c r="AB307" i="1"/>
  <c r="AC307" i="1"/>
  <c r="AD307" i="1"/>
  <c r="AE307" i="1"/>
  <c r="AF307" i="1"/>
  <c r="AG307" i="1"/>
  <c r="Z308" i="1"/>
  <c r="AA308" i="1"/>
  <c r="AB308" i="1"/>
  <c r="AC308" i="1"/>
  <c r="AD308" i="1"/>
  <c r="AE308" i="1"/>
  <c r="AF308" i="1"/>
  <c r="AG308" i="1"/>
  <c r="Z309" i="1"/>
  <c r="AA309" i="1"/>
  <c r="AB309" i="1"/>
  <c r="AC309" i="1"/>
  <c r="AD309" i="1"/>
  <c r="AE309" i="1"/>
  <c r="AF309" i="1"/>
  <c r="AG309" i="1"/>
  <c r="Z310" i="1"/>
  <c r="AA310" i="1"/>
  <c r="AB310" i="1"/>
  <c r="AC310" i="1"/>
  <c r="AD310" i="1"/>
  <c r="AE310" i="1"/>
  <c r="AF310" i="1"/>
  <c r="AG310" i="1"/>
  <c r="Z311" i="1"/>
  <c r="AA311" i="1"/>
  <c r="AB311" i="1"/>
  <c r="AC311" i="1"/>
  <c r="AD311" i="1"/>
  <c r="AE311" i="1"/>
  <c r="AF311" i="1"/>
  <c r="AG311" i="1"/>
  <c r="Z312" i="1"/>
  <c r="AA312" i="1"/>
  <c r="AB312" i="1"/>
  <c r="AC312" i="1"/>
  <c r="AD312" i="1"/>
  <c r="AE312" i="1"/>
  <c r="AF312" i="1"/>
  <c r="AG312" i="1"/>
  <c r="Z313" i="1"/>
  <c r="AA313" i="1"/>
  <c r="AB313" i="1"/>
  <c r="AC313" i="1"/>
  <c r="AD313" i="1"/>
  <c r="AE313" i="1"/>
  <c r="AF313" i="1"/>
  <c r="AG313" i="1"/>
  <c r="Z314" i="1"/>
  <c r="AA314" i="1"/>
  <c r="AB314" i="1"/>
  <c r="AC314" i="1"/>
  <c r="AD314" i="1"/>
  <c r="AE314" i="1"/>
  <c r="AF314" i="1"/>
  <c r="AG314" i="1"/>
  <c r="Z315" i="1"/>
  <c r="AA315" i="1"/>
  <c r="AB315" i="1"/>
  <c r="AC315" i="1"/>
  <c r="AD315" i="1"/>
  <c r="AE315" i="1"/>
  <c r="AF315" i="1"/>
  <c r="AG315" i="1"/>
  <c r="Z316" i="1"/>
  <c r="AA316" i="1"/>
  <c r="AB316" i="1"/>
  <c r="AC316" i="1"/>
  <c r="AD316" i="1"/>
  <c r="AE316" i="1"/>
  <c r="AF316" i="1"/>
  <c r="AG316" i="1"/>
  <c r="Z317" i="1"/>
  <c r="AA317" i="1"/>
  <c r="AB317" i="1"/>
  <c r="AC317" i="1"/>
  <c r="AD317" i="1"/>
  <c r="AE317" i="1"/>
  <c r="AF317" i="1"/>
  <c r="AG317" i="1"/>
  <c r="Z318" i="1"/>
  <c r="AA318" i="1"/>
  <c r="AB318" i="1"/>
  <c r="AC318" i="1"/>
  <c r="AD318" i="1"/>
  <c r="AE318" i="1"/>
  <c r="AF318" i="1"/>
  <c r="AG318" i="1"/>
  <c r="Z319" i="1"/>
  <c r="AA319" i="1"/>
  <c r="AB319" i="1"/>
  <c r="AC319" i="1"/>
  <c r="AD319" i="1"/>
  <c r="AE319" i="1"/>
  <c r="AF319" i="1"/>
  <c r="AG319" i="1"/>
  <c r="Z320" i="1"/>
  <c r="AA320" i="1"/>
  <c r="AB320" i="1"/>
  <c r="AC320" i="1"/>
  <c r="AD320" i="1"/>
  <c r="AE320" i="1"/>
  <c r="AF320" i="1"/>
  <c r="AG320" i="1"/>
  <c r="Z321" i="1"/>
  <c r="AA321" i="1"/>
  <c r="AB321" i="1"/>
  <c r="AC321" i="1"/>
  <c r="AD321" i="1"/>
  <c r="AE321" i="1"/>
  <c r="AF321" i="1"/>
  <c r="AG321" i="1"/>
  <c r="Z322" i="1"/>
  <c r="AA322" i="1"/>
  <c r="AB322" i="1"/>
  <c r="AC322" i="1"/>
  <c r="AD322" i="1"/>
  <c r="AE322" i="1"/>
  <c r="AF322" i="1"/>
  <c r="AG322" i="1"/>
  <c r="Z323" i="1"/>
  <c r="AA323" i="1"/>
  <c r="AB323" i="1"/>
  <c r="AC323" i="1"/>
  <c r="AD323" i="1"/>
  <c r="AE323" i="1"/>
  <c r="AF323" i="1"/>
  <c r="AG323" i="1"/>
  <c r="Z324" i="1"/>
  <c r="AA324" i="1"/>
  <c r="AB324" i="1"/>
  <c r="AC324" i="1"/>
  <c r="AD324" i="1"/>
  <c r="AE324" i="1"/>
  <c r="AF324" i="1"/>
  <c r="AG324" i="1"/>
  <c r="Z325" i="1"/>
  <c r="AA325" i="1"/>
  <c r="AB325" i="1"/>
  <c r="AC325" i="1"/>
  <c r="AD325" i="1"/>
  <c r="AE325" i="1"/>
  <c r="AF325" i="1"/>
  <c r="AG325" i="1"/>
  <c r="Z326" i="1"/>
  <c r="AA326" i="1"/>
  <c r="AB326" i="1"/>
  <c r="AC326" i="1"/>
  <c r="AD326" i="1"/>
  <c r="AE326" i="1"/>
  <c r="AF326" i="1"/>
  <c r="AG326" i="1"/>
  <c r="Z327" i="1"/>
  <c r="AA327" i="1"/>
  <c r="AB327" i="1"/>
  <c r="AC327" i="1"/>
  <c r="AD327" i="1"/>
  <c r="AE327" i="1"/>
  <c r="AF327" i="1"/>
  <c r="AG327" i="1"/>
  <c r="Z328" i="1"/>
  <c r="AA328" i="1"/>
  <c r="AB328" i="1"/>
  <c r="AC328" i="1"/>
  <c r="AD328" i="1"/>
  <c r="AE328" i="1"/>
  <c r="AF328" i="1"/>
  <c r="AG328" i="1"/>
  <c r="Z329" i="1"/>
  <c r="AA329" i="1"/>
  <c r="AB329" i="1"/>
  <c r="AC329" i="1"/>
  <c r="AD329" i="1"/>
  <c r="AE329" i="1"/>
  <c r="AF329" i="1"/>
  <c r="AG329" i="1"/>
  <c r="Z330" i="1"/>
  <c r="AA330" i="1"/>
  <c r="AB330" i="1"/>
  <c r="AC330" i="1"/>
  <c r="AD330" i="1"/>
  <c r="AE330" i="1"/>
  <c r="AF330" i="1"/>
  <c r="AG330" i="1"/>
  <c r="Z331" i="1"/>
  <c r="AA331" i="1"/>
  <c r="AB331" i="1"/>
  <c r="AC331" i="1"/>
  <c r="AD331" i="1"/>
  <c r="AE331" i="1"/>
  <c r="AF331" i="1"/>
  <c r="AG331" i="1"/>
  <c r="Z332" i="1"/>
  <c r="AA332" i="1"/>
  <c r="AB332" i="1"/>
  <c r="AC332" i="1"/>
  <c r="AD332" i="1"/>
  <c r="AE332" i="1"/>
  <c r="AF332" i="1"/>
  <c r="AG332" i="1"/>
  <c r="Z333" i="1"/>
  <c r="AA333" i="1"/>
  <c r="AB333" i="1"/>
  <c r="AC333" i="1"/>
  <c r="AD333" i="1"/>
  <c r="AE333" i="1"/>
  <c r="AF333" i="1"/>
  <c r="AG333" i="1"/>
  <c r="Z334" i="1"/>
  <c r="AA334" i="1"/>
  <c r="AB334" i="1"/>
  <c r="AC334" i="1"/>
  <c r="AD334" i="1"/>
  <c r="AE334" i="1"/>
  <c r="AF334" i="1"/>
  <c r="AG334" i="1"/>
  <c r="Z335" i="1"/>
  <c r="AA335" i="1"/>
  <c r="AB335" i="1"/>
  <c r="AC335" i="1"/>
  <c r="AD335" i="1"/>
  <c r="AE335" i="1"/>
  <c r="AF335" i="1"/>
  <c r="AG335" i="1"/>
  <c r="Z336" i="1"/>
  <c r="AA336" i="1"/>
  <c r="AB336" i="1"/>
  <c r="AC336" i="1"/>
  <c r="AD336" i="1"/>
  <c r="AE336" i="1"/>
  <c r="AF336" i="1"/>
  <c r="AG336" i="1"/>
  <c r="Z337" i="1"/>
  <c r="AA337" i="1"/>
  <c r="AB337" i="1"/>
  <c r="AC337" i="1"/>
  <c r="AD337" i="1"/>
  <c r="AE337" i="1"/>
  <c r="AF337" i="1"/>
  <c r="AG337" i="1"/>
  <c r="Z338" i="1"/>
  <c r="AA338" i="1"/>
  <c r="AB338" i="1"/>
  <c r="AC338" i="1"/>
  <c r="AD338" i="1"/>
  <c r="AE338" i="1"/>
  <c r="AF338" i="1"/>
  <c r="AG338" i="1"/>
  <c r="Z339" i="1"/>
  <c r="AA339" i="1"/>
  <c r="AB339" i="1"/>
  <c r="AC339" i="1"/>
  <c r="AD339" i="1"/>
  <c r="AE339" i="1"/>
  <c r="AF339" i="1"/>
  <c r="AG339" i="1"/>
  <c r="Z340" i="1"/>
  <c r="AA340" i="1"/>
  <c r="AB340" i="1"/>
  <c r="AC340" i="1"/>
  <c r="AD340" i="1"/>
  <c r="AE340" i="1"/>
  <c r="AF340" i="1"/>
  <c r="AG340" i="1"/>
  <c r="Z341" i="1"/>
  <c r="AA341" i="1"/>
  <c r="AB341" i="1"/>
  <c r="AC341" i="1"/>
  <c r="AD341" i="1"/>
  <c r="AE341" i="1"/>
  <c r="AF341" i="1"/>
  <c r="AG341" i="1"/>
  <c r="Z342" i="1"/>
  <c r="AA342" i="1"/>
  <c r="AB342" i="1"/>
  <c r="AC342" i="1"/>
  <c r="AD342" i="1"/>
  <c r="AE342" i="1"/>
  <c r="AF342" i="1"/>
  <c r="AG342" i="1"/>
  <c r="Z343" i="1"/>
  <c r="AA343" i="1"/>
  <c r="AB343" i="1"/>
  <c r="AC343" i="1"/>
  <c r="AD343" i="1"/>
  <c r="AE343" i="1"/>
  <c r="AF343" i="1"/>
  <c r="AG343" i="1"/>
  <c r="Z344" i="1"/>
  <c r="AA344" i="1"/>
  <c r="AB344" i="1"/>
  <c r="AC344" i="1"/>
  <c r="AD344" i="1"/>
  <c r="AE344" i="1"/>
  <c r="AF344" i="1"/>
  <c r="AG344" i="1"/>
  <c r="Z345" i="1"/>
  <c r="AA345" i="1"/>
  <c r="AB345" i="1"/>
  <c r="AC345" i="1"/>
  <c r="AD345" i="1"/>
  <c r="AE345" i="1"/>
  <c r="AF345" i="1"/>
  <c r="AG345" i="1"/>
  <c r="Z346" i="1"/>
  <c r="AA346" i="1"/>
  <c r="AB346" i="1"/>
  <c r="AC346" i="1"/>
  <c r="AD346" i="1"/>
  <c r="AE346" i="1"/>
  <c r="AF346" i="1"/>
  <c r="AG346" i="1"/>
  <c r="Z347" i="1"/>
  <c r="AA347" i="1"/>
  <c r="AB347" i="1"/>
  <c r="AC347" i="1"/>
  <c r="AD347" i="1"/>
  <c r="AE347" i="1"/>
  <c r="AF347" i="1"/>
  <c r="AG347" i="1"/>
  <c r="Z348" i="1"/>
  <c r="AA348" i="1"/>
  <c r="AB348" i="1"/>
  <c r="AC348" i="1"/>
  <c r="AD348" i="1"/>
  <c r="AE348" i="1"/>
  <c r="AF348" i="1"/>
  <c r="AG348" i="1"/>
  <c r="Z349" i="1"/>
  <c r="AA349" i="1"/>
  <c r="AB349" i="1"/>
  <c r="AC349" i="1"/>
  <c r="AD349" i="1"/>
  <c r="AE349" i="1"/>
  <c r="AF349" i="1"/>
  <c r="AG349" i="1"/>
  <c r="Z350" i="1"/>
  <c r="AA350" i="1"/>
  <c r="AB350" i="1"/>
  <c r="AC350" i="1"/>
  <c r="AD350" i="1"/>
  <c r="AE350" i="1"/>
  <c r="AF350" i="1"/>
  <c r="AG350" i="1"/>
  <c r="Z351" i="1"/>
  <c r="AA351" i="1"/>
  <c r="AB351" i="1"/>
  <c r="AC351" i="1"/>
  <c r="AD351" i="1"/>
  <c r="AE351" i="1"/>
  <c r="AF351" i="1"/>
  <c r="AG351" i="1"/>
  <c r="Z352" i="1"/>
  <c r="AA352" i="1"/>
  <c r="AB352" i="1"/>
  <c r="AC352" i="1"/>
  <c r="AD352" i="1"/>
  <c r="AE352" i="1"/>
  <c r="AF352" i="1"/>
  <c r="AG352" i="1"/>
  <c r="Z353" i="1"/>
  <c r="AA353" i="1"/>
  <c r="AB353" i="1"/>
  <c r="AC353" i="1"/>
  <c r="AD353" i="1"/>
  <c r="AE353" i="1"/>
  <c r="AF353" i="1"/>
  <c r="AG353" i="1"/>
  <c r="Z354" i="1"/>
  <c r="AA354" i="1"/>
  <c r="AB354" i="1"/>
  <c r="AC354" i="1"/>
  <c r="AD354" i="1"/>
  <c r="AE354" i="1"/>
  <c r="AF354" i="1"/>
  <c r="AG354" i="1"/>
  <c r="Z355" i="1"/>
  <c r="AA355" i="1"/>
  <c r="AB355" i="1"/>
  <c r="AC355" i="1"/>
  <c r="AD355" i="1"/>
  <c r="AE355" i="1"/>
  <c r="AF355" i="1"/>
  <c r="AG355" i="1"/>
  <c r="Z356" i="1"/>
  <c r="AA356" i="1"/>
  <c r="AB356" i="1"/>
  <c r="AC356" i="1"/>
  <c r="AD356" i="1"/>
  <c r="AE356" i="1"/>
  <c r="AF356" i="1"/>
  <c r="AG356" i="1"/>
  <c r="Z357" i="1"/>
  <c r="AA357" i="1"/>
  <c r="AB357" i="1"/>
  <c r="AC357" i="1"/>
  <c r="AD357" i="1"/>
  <c r="AE357" i="1"/>
  <c r="AF357" i="1"/>
  <c r="AG357" i="1"/>
  <c r="Z358" i="1"/>
  <c r="AA358" i="1"/>
  <c r="AB358" i="1"/>
  <c r="AC358" i="1"/>
  <c r="AD358" i="1"/>
  <c r="AE358" i="1"/>
  <c r="AF358" i="1"/>
  <c r="AG358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Z4" i="1"/>
  <c r="AA4" i="1"/>
  <c r="AB4" i="1"/>
  <c r="AC4" i="1"/>
  <c r="AD4" i="1"/>
  <c r="AE4" i="1"/>
  <c r="AF4" i="1"/>
  <c r="AG4" i="1"/>
  <c r="Z5" i="1"/>
  <c r="AA5" i="1"/>
  <c r="AB5" i="1"/>
  <c r="AC5" i="1"/>
  <c r="AD5" i="1"/>
  <c r="AE5" i="1"/>
  <c r="AF5" i="1"/>
  <c r="AG5" i="1"/>
  <c r="Z6" i="1"/>
  <c r="AA6" i="1"/>
  <c r="AB6" i="1"/>
  <c r="AC6" i="1"/>
  <c r="AD6" i="1"/>
  <c r="AE6" i="1"/>
  <c r="AF6" i="1"/>
  <c r="AG6" i="1"/>
  <c r="Z7" i="1"/>
  <c r="AA7" i="1"/>
  <c r="AB7" i="1"/>
  <c r="AC7" i="1"/>
  <c r="AD7" i="1"/>
  <c r="AE7" i="1"/>
  <c r="AF7" i="1"/>
  <c r="AG7" i="1"/>
  <c r="Z8" i="1"/>
  <c r="AA8" i="1"/>
  <c r="AB8" i="1"/>
  <c r="AC8" i="1"/>
  <c r="AD8" i="1"/>
  <c r="AE8" i="1"/>
  <c r="AF8" i="1"/>
  <c r="AG8" i="1"/>
  <c r="Z9" i="1"/>
  <c r="AA9" i="1"/>
  <c r="AB9" i="1"/>
  <c r="AC9" i="1"/>
  <c r="AD9" i="1"/>
  <c r="AE9" i="1"/>
  <c r="AF9" i="1"/>
  <c r="AG9" i="1"/>
  <c r="Z10" i="1"/>
  <c r="AA10" i="1"/>
  <c r="AB10" i="1"/>
  <c r="AC10" i="1"/>
  <c r="AD10" i="1"/>
  <c r="AE10" i="1"/>
  <c r="AF10" i="1"/>
  <c r="AG10" i="1"/>
  <c r="Z11" i="1"/>
  <c r="AA11" i="1"/>
  <c r="AB11" i="1"/>
  <c r="AC11" i="1"/>
  <c r="AD11" i="1"/>
  <c r="AE11" i="1"/>
  <c r="AF11" i="1"/>
  <c r="AG11" i="1"/>
  <c r="Z12" i="1"/>
  <c r="AA12" i="1"/>
  <c r="AB12" i="1"/>
  <c r="AC12" i="1"/>
  <c r="AD12" i="1"/>
  <c r="AE12" i="1"/>
  <c r="AF12" i="1"/>
  <c r="AG12" i="1"/>
  <c r="Z13" i="1"/>
  <c r="AA13" i="1"/>
  <c r="AB13" i="1"/>
  <c r="AC13" i="1"/>
  <c r="AD13" i="1"/>
  <c r="AE13" i="1"/>
  <c r="AF13" i="1"/>
  <c r="AG13" i="1"/>
  <c r="Z14" i="1"/>
  <c r="AA14" i="1"/>
  <c r="AB14" i="1"/>
  <c r="AC14" i="1"/>
  <c r="AD14" i="1"/>
  <c r="AE14" i="1"/>
  <c r="AF14" i="1"/>
  <c r="AG14" i="1"/>
  <c r="Z15" i="1"/>
  <c r="AA15" i="1"/>
  <c r="AB15" i="1"/>
  <c r="AC15" i="1"/>
  <c r="AD15" i="1"/>
  <c r="AE15" i="1"/>
  <c r="AF15" i="1"/>
  <c r="AG15" i="1"/>
  <c r="Z16" i="1"/>
  <c r="AA16" i="1"/>
  <c r="AB16" i="1"/>
  <c r="AC16" i="1"/>
  <c r="AD16" i="1"/>
  <c r="AE16" i="1"/>
  <c r="AF16" i="1"/>
  <c r="AG16" i="1"/>
  <c r="Z17" i="1"/>
  <c r="AA17" i="1"/>
  <c r="AB17" i="1"/>
  <c r="AC17" i="1"/>
  <c r="AD17" i="1"/>
  <c r="AE17" i="1"/>
  <c r="AF17" i="1"/>
  <c r="AG17" i="1"/>
  <c r="Z18" i="1"/>
  <c r="AA18" i="1"/>
  <c r="AB18" i="1"/>
  <c r="AC18" i="1"/>
  <c r="AD18" i="1"/>
  <c r="AE18" i="1"/>
  <c r="AF18" i="1"/>
  <c r="AG18" i="1"/>
  <c r="Z19" i="1"/>
  <c r="AA19" i="1"/>
  <c r="AB19" i="1"/>
  <c r="AC19" i="1"/>
  <c r="AD19" i="1"/>
  <c r="AE19" i="1"/>
  <c r="AF19" i="1"/>
  <c r="AG19" i="1"/>
  <c r="Z20" i="1"/>
  <c r="AA20" i="1"/>
  <c r="AB20" i="1"/>
  <c r="AC20" i="1"/>
  <c r="AD20" i="1"/>
  <c r="AE20" i="1"/>
  <c r="AF20" i="1"/>
  <c r="AG20" i="1"/>
  <c r="Z21" i="1"/>
  <c r="AA21" i="1"/>
  <c r="AB21" i="1"/>
  <c r="AC21" i="1"/>
  <c r="AD21" i="1"/>
  <c r="AE21" i="1"/>
  <c r="AF21" i="1"/>
  <c r="AG21" i="1"/>
  <c r="Z22" i="1"/>
  <c r="AA22" i="1"/>
  <c r="AB22" i="1"/>
  <c r="AC22" i="1"/>
  <c r="AD22" i="1"/>
  <c r="AE22" i="1"/>
  <c r="AF22" i="1"/>
  <c r="AG22" i="1"/>
  <c r="Z23" i="1"/>
  <c r="AA23" i="1"/>
  <c r="AB23" i="1"/>
  <c r="AC23" i="1"/>
  <c r="AD23" i="1"/>
  <c r="AE23" i="1"/>
  <c r="AF23" i="1"/>
  <c r="AG23" i="1"/>
  <c r="Z24" i="1"/>
  <c r="AA24" i="1"/>
  <c r="AB24" i="1"/>
  <c r="AC24" i="1"/>
  <c r="AD24" i="1"/>
  <c r="AE24" i="1"/>
  <c r="AF24" i="1"/>
  <c r="AG24" i="1"/>
  <c r="Z25" i="1"/>
  <c r="AA25" i="1"/>
  <c r="AB25" i="1"/>
  <c r="AC25" i="1"/>
  <c r="AD25" i="1"/>
  <c r="AE25" i="1"/>
  <c r="AF25" i="1"/>
  <c r="AG25" i="1"/>
  <c r="Z26" i="1"/>
  <c r="AA26" i="1"/>
  <c r="AB26" i="1"/>
  <c r="AC26" i="1"/>
  <c r="AD26" i="1"/>
  <c r="AE26" i="1"/>
  <c r="AF26" i="1"/>
  <c r="AG26" i="1"/>
  <c r="Z27" i="1"/>
  <c r="AA27" i="1"/>
  <c r="AB27" i="1"/>
  <c r="AC27" i="1"/>
  <c r="AD27" i="1"/>
  <c r="AE27" i="1"/>
  <c r="AF27" i="1"/>
  <c r="AG27" i="1"/>
  <c r="Z28" i="1"/>
  <c r="AA28" i="1"/>
  <c r="AB28" i="1"/>
  <c r="AC28" i="1"/>
  <c r="AD28" i="1"/>
  <c r="AE28" i="1"/>
  <c r="AF28" i="1"/>
  <c r="AG28" i="1"/>
  <c r="Z29" i="1"/>
  <c r="AA29" i="1"/>
  <c r="AB29" i="1"/>
  <c r="AC29" i="1"/>
  <c r="AD29" i="1"/>
  <c r="AE29" i="1"/>
  <c r="AF29" i="1"/>
  <c r="AG29" i="1"/>
  <c r="Z30" i="1"/>
  <c r="AA30" i="1"/>
  <c r="AB30" i="1"/>
  <c r="AC30" i="1"/>
  <c r="AD30" i="1"/>
  <c r="AE30" i="1"/>
  <c r="AF30" i="1"/>
  <c r="AG30" i="1"/>
  <c r="Z31" i="1"/>
  <c r="AA31" i="1"/>
  <c r="AB31" i="1"/>
  <c r="AC31" i="1"/>
  <c r="AD31" i="1"/>
  <c r="AE31" i="1"/>
  <c r="AF31" i="1"/>
  <c r="AG31" i="1"/>
  <c r="Z32" i="1"/>
  <c r="AA32" i="1"/>
  <c r="AB32" i="1"/>
  <c r="AC32" i="1"/>
  <c r="AD32" i="1"/>
  <c r="AE32" i="1"/>
  <c r="AF32" i="1"/>
  <c r="AG32" i="1"/>
  <c r="Z33" i="1"/>
  <c r="AA33" i="1"/>
  <c r="AB33" i="1"/>
  <c r="AC33" i="1"/>
  <c r="AD33" i="1"/>
  <c r="AE33" i="1"/>
  <c r="AF33" i="1"/>
  <c r="AG33" i="1"/>
  <c r="Z34" i="1"/>
  <c r="AA34" i="1"/>
  <c r="AB34" i="1"/>
  <c r="AC34" i="1"/>
  <c r="AD34" i="1"/>
  <c r="AE34" i="1"/>
  <c r="AF34" i="1"/>
  <c r="AG34" i="1"/>
  <c r="Z35" i="1"/>
  <c r="AA35" i="1"/>
  <c r="AB35" i="1"/>
  <c r="AC35" i="1"/>
  <c r="AD35" i="1"/>
  <c r="AE35" i="1"/>
  <c r="AF35" i="1"/>
  <c r="AG35" i="1"/>
  <c r="Z36" i="1"/>
  <c r="AA36" i="1"/>
  <c r="AB36" i="1"/>
  <c r="AC36" i="1"/>
  <c r="AD36" i="1"/>
  <c r="AE36" i="1"/>
  <c r="AF36" i="1"/>
  <c r="AG36" i="1"/>
  <c r="Z37" i="1"/>
  <c r="AA37" i="1"/>
  <c r="AB37" i="1"/>
  <c r="AC37" i="1"/>
  <c r="AD37" i="1"/>
  <c r="AE37" i="1"/>
  <c r="AF37" i="1"/>
  <c r="AG37" i="1"/>
  <c r="Z38" i="1"/>
  <c r="AA38" i="1"/>
  <c r="AB38" i="1"/>
  <c r="AC38" i="1"/>
  <c r="AD38" i="1"/>
  <c r="AE38" i="1"/>
  <c r="AF38" i="1"/>
  <c r="AG38" i="1"/>
  <c r="Z39" i="1"/>
  <c r="AA39" i="1"/>
  <c r="AB39" i="1"/>
  <c r="AC39" i="1"/>
  <c r="AD39" i="1"/>
  <c r="AE39" i="1"/>
  <c r="AF39" i="1"/>
  <c r="AG39" i="1"/>
  <c r="Z40" i="1"/>
  <c r="AA40" i="1"/>
  <c r="AB40" i="1"/>
  <c r="AC40" i="1"/>
  <c r="AD40" i="1"/>
  <c r="AE40" i="1"/>
  <c r="AF40" i="1"/>
  <c r="AG40" i="1"/>
  <c r="Z41" i="1"/>
  <c r="AA41" i="1"/>
  <c r="AB41" i="1"/>
  <c r="AC41" i="1"/>
  <c r="AD41" i="1"/>
  <c r="AE41" i="1"/>
  <c r="AF41" i="1"/>
  <c r="AG41" i="1"/>
  <c r="Z42" i="1"/>
  <c r="AA42" i="1"/>
  <c r="AB42" i="1"/>
  <c r="AC42" i="1"/>
  <c r="AD42" i="1"/>
  <c r="AE42" i="1"/>
  <c r="AF42" i="1"/>
  <c r="AG42" i="1"/>
  <c r="Z43" i="1"/>
  <c r="AA43" i="1"/>
  <c r="AB43" i="1"/>
  <c r="AC43" i="1"/>
  <c r="AD43" i="1"/>
  <c r="AE43" i="1"/>
  <c r="AF43" i="1"/>
  <c r="AG43" i="1"/>
  <c r="Z44" i="1"/>
  <c r="AA44" i="1"/>
  <c r="AB44" i="1"/>
  <c r="AC44" i="1"/>
  <c r="AD44" i="1"/>
  <c r="AE44" i="1"/>
  <c r="AF44" i="1"/>
  <c r="AG44" i="1"/>
  <c r="Z45" i="1"/>
  <c r="AA45" i="1"/>
  <c r="AB45" i="1"/>
  <c r="AC45" i="1"/>
  <c r="AD45" i="1"/>
  <c r="AE45" i="1"/>
  <c r="AF45" i="1"/>
  <c r="AG45" i="1"/>
  <c r="Z46" i="1"/>
  <c r="AA46" i="1"/>
  <c r="AB46" i="1"/>
  <c r="AC46" i="1"/>
  <c r="AD46" i="1"/>
  <c r="AE46" i="1"/>
  <c r="AF46" i="1"/>
  <c r="AG46" i="1"/>
  <c r="Z47" i="1"/>
  <c r="AA47" i="1"/>
  <c r="AB47" i="1"/>
  <c r="AC47" i="1"/>
  <c r="AD47" i="1"/>
  <c r="AE47" i="1"/>
  <c r="AF47" i="1"/>
  <c r="AG47" i="1"/>
  <c r="Z48" i="1"/>
  <c r="AA48" i="1"/>
  <c r="AB48" i="1"/>
  <c r="AC48" i="1"/>
  <c r="AD48" i="1"/>
  <c r="AE48" i="1"/>
  <c r="AF48" i="1"/>
  <c r="AG48" i="1"/>
  <c r="Z49" i="1"/>
  <c r="AA49" i="1"/>
  <c r="AB49" i="1"/>
  <c r="AC49" i="1"/>
  <c r="AD49" i="1"/>
  <c r="AE49" i="1"/>
  <c r="AF49" i="1"/>
  <c r="AG49" i="1"/>
  <c r="Z50" i="1"/>
  <c r="AA50" i="1"/>
  <c r="AB50" i="1"/>
  <c r="AC50" i="1"/>
  <c r="AD50" i="1"/>
  <c r="AE50" i="1"/>
  <c r="AF50" i="1"/>
  <c r="AG50" i="1"/>
  <c r="Z51" i="1"/>
  <c r="AA51" i="1"/>
  <c r="AB51" i="1"/>
  <c r="AC51" i="1"/>
  <c r="AD51" i="1"/>
  <c r="AE51" i="1"/>
  <c r="AF51" i="1"/>
  <c r="AG51" i="1"/>
  <c r="Z52" i="1"/>
  <c r="AA52" i="1"/>
  <c r="AB52" i="1"/>
  <c r="AC52" i="1"/>
  <c r="AD52" i="1"/>
  <c r="AE52" i="1"/>
  <c r="AF52" i="1"/>
  <c r="AG52" i="1"/>
  <c r="Z53" i="1"/>
  <c r="AA53" i="1"/>
  <c r="AB53" i="1"/>
  <c r="AC53" i="1"/>
  <c r="AD53" i="1"/>
  <c r="AE53" i="1"/>
  <c r="AF53" i="1"/>
  <c r="AG53" i="1"/>
  <c r="Z54" i="1"/>
  <c r="AA54" i="1"/>
  <c r="AB54" i="1"/>
  <c r="AC54" i="1"/>
  <c r="AD54" i="1"/>
  <c r="AE54" i="1"/>
  <c r="AF54" i="1"/>
  <c r="AG54" i="1"/>
  <c r="Z55" i="1"/>
  <c r="AA55" i="1"/>
  <c r="AB55" i="1"/>
  <c r="AC55" i="1"/>
  <c r="AD55" i="1"/>
  <c r="AE55" i="1"/>
  <c r="AF55" i="1"/>
  <c r="AG55" i="1"/>
  <c r="Z56" i="1"/>
  <c r="AA56" i="1"/>
  <c r="AB56" i="1"/>
  <c r="AC56" i="1"/>
  <c r="AD56" i="1"/>
  <c r="AE56" i="1"/>
  <c r="AF56" i="1"/>
  <c r="AG56" i="1"/>
  <c r="Z57" i="1"/>
  <c r="AA57" i="1"/>
  <c r="AB57" i="1"/>
  <c r="AC57" i="1"/>
  <c r="AD57" i="1"/>
  <c r="AE57" i="1"/>
  <c r="AF57" i="1"/>
  <c r="AG57" i="1"/>
  <c r="Z58" i="1"/>
  <c r="AA58" i="1"/>
  <c r="AB58" i="1"/>
  <c r="AC58" i="1"/>
  <c r="AD58" i="1"/>
  <c r="AE58" i="1"/>
  <c r="AF58" i="1"/>
  <c r="AG58" i="1"/>
  <c r="Z59" i="1"/>
  <c r="AA59" i="1"/>
  <c r="AB59" i="1"/>
  <c r="AC59" i="1"/>
  <c r="AD59" i="1"/>
  <c r="AE59" i="1"/>
  <c r="AF59" i="1"/>
  <c r="AG59" i="1"/>
  <c r="Z60" i="1"/>
  <c r="AA60" i="1"/>
  <c r="AB60" i="1"/>
  <c r="AC60" i="1"/>
  <c r="AD60" i="1"/>
  <c r="AE60" i="1"/>
  <c r="AF60" i="1"/>
  <c r="AG60" i="1"/>
  <c r="Z61" i="1"/>
  <c r="AA61" i="1"/>
  <c r="AB61" i="1"/>
  <c r="AC61" i="1"/>
  <c r="AD61" i="1"/>
  <c r="AE61" i="1"/>
  <c r="AF61" i="1"/>
  <c r="AG61" i="1"/>
  <c r="Z62" i="1"/>
  <c r="AA62" i="1"/>
  <c r="AB62" i="1"/>
  <c r="AC62" i="1"/>
  <c r="AD62" i="1"/>
  <c r="AE62" i="1"/>
  <c r="AF62" i="1"/>
  <c r="AG62" i="1"/>
  <c r="Z63" i="1"/>
  <c r="AA63" i="1"/>
  <c r="AB63" i="1"/>
  <c r="AC63" i="1"/>
  <c r="AD63" i="1"/>
  <c r="AE63" i="1"/>
  <c r="AF63" i="1"/>
  <c r="AG63" i="1"/>
  <c r="Z64" i="1"/>
  <c r="AA64" i="1"/>
  <c r="AB64" i="1"/>
  <c r="AC64" i="1"/>
  <c r="AD64" i="1"/>
  <c r="AE64" i="1"/>
  <c r="AF64" i="1"/>
  <c r="AG64" i="1"/>
  <c r="Z65" i="1"/>
  <c r="AA65" i="1"/>
  <c r="AB65" i="1"/>
  <c r="AC65" i="1"/>
  <c r="AD65" i="1"/>
  <c r="AE65" i="1"/>
  <c r="AF65" i="1"/>
  <c r="AG65" i="1"/>
  <c r="Z66" i="1"/>
  <c r="AA66" i="1"/>
  <c r="AB66" i="1"/>
  <c r="AC66" i="1"/>
  <c r="AD66" i="1"/>
  <c r="AE66" i="1"/>
  <c r="AF66" i="1"/>
  <c r="AG66" i="1"/>
  <c r="Z67" i="1"/>
  <c r="AA67" i="1"/>
  <c r="AB67" i="1"/>
  <c r="AC67" i="1"/>
  <c r="AD67" i="1"/>
  <c r="AE67" i="1"/>
  <c r="AF67" i="1"/>
  <c r="AG67" i="1"/>
  <c r="Z68" i="1"/>
  <c r="AA68" i="1"/>
  <c r="AB68" i="1"/>
  <c r="AC68" i="1"/>
  <c r="AD68" i="1"/>
  <c r="AE68" i="1"/>
  <c r="AF68" i="1"/>
  <c r="AG68" i="1"/>
  <c r="Z69" i="1"/>
  <c r="AA69" i="1"/>
  <c r="AB69" i="1"/>
  <c r="AC69" i="1"/>
  <c r="AD69" i="1"/>
  <c r="AE69" i="1"/>
  <c r="AF69" i="1"/>
  <c r="AG69" i="1"/>
  <c r="Z70" i="1"/>
  <c r="AA70" i="1"/>
  <c r="AB70" i="1"/>
  <c r="AC70" i="1"/>
  <c r="AD70" i="1"/>
  <c r="AE70" i="1"/>
  <c r="AF70" i="1"/>
  <c r="AG70" i="1"/>
  <c r="Z71" i="1"/>
  <c r="AA71" i="1"/>
  <c r="AB71" i="1"/>
  <c r="AC71" i="1"/>
  <c r="AD71" i="1"/>
  <c r="AE71" i="1"/>
  <c r="AF71" i="1"/>
  <c r="AG71" i="1"/>
  <c r="Z72" i="1"/>
  <c r="AA72" i="1"/>
  <c r="AB72" i="1"/>
  <c r="AC72" i="1"/>
  <c r="AD72" i="1"/>
  <c r="AE72" i="1"/>
  <c r="AF72" i="1"/>
  <c r="AG72" i="1"/>
  <c r="Z73" i="1"/>
  <c r="AA73" i="1"/>
  <c r="AB73" i="1"/>
  <c r="AC73" i="1"/>
  <c r="AD73" i="1"/>
  <c r="AE73" i="1"/>
  <c r="AF73" i="1"/>
  <c r="AG73" i="1"/>
  <c r="Z74" i="1"/>
  <c r="AA74" i="1"/>
  <c r="AB74" i="1"/>
  <c r="AC74" i="1"/>
  <c r="AD74" i="1"/>
  <c r="AE74" i="1"/>
  <c r="AF74" i="1"/>
  <c r="AG74" i="1"/>
  <c r="Z75" i="1"/>
  <c r="AA75" i="1"/>
  <c r="AB75" i="1"/>
  <c r="AC75" i="1"/>
  <c r="AD75" i="1"/>
  <c r="AE75" i="1"/>
  <c r="AF75" i="1"/>
  <c r="AG75" i="1"/>
  <c r="Z76" i="1"/>
  <c r="AA76" i="1"/>
  <c r="AB76" i="1"/>
  <c r="AC76" i="1"/>
  <c r="AD76" i="1"/>
  <c r="AE76" i="1"/>
  <c r="AF76" i="1"/>
  <c r="AG76" i="1"/>
  <c r="Z77" i="1"/>
  <c r="AA77" i="1"/>
  <c r="AB77" i="1"/>
  <c r="AC77" i="1"/>
  <c r="AD77" i="1"/>
  <c r="AE77" i="1"/>
  <c r="AF77" i="1"/>
  <c r="AG77" i="1"/>
  <c r="Z78" i="1"/>
  <c r="AA78" i="1"/>
  <c r="AB78" i="1"/>
  <c r="AC78" i="1"/>
  <c r="AD78" i="1"/>
  <c r="AE78" i="1"/>
  <c r="AF78" i="1"/>
  <c r="AG78" i="1"/>
  <c r="Z79" i="1"/>
  <c r="AA79" i="1"/>
  <c r="AB79" i="1"/>
  <c r="AC79" i="1"/>
  <c r="AD79" i="1"/>
  <c r="AE79" i="1"/>
  <c r="AF79" i="1"/>
  <c r="AG79" i="1"/>
  <c r="Z80" i="1"/>
  <c r="AA80" i="1"/>
  <c r="AB80" i="1"/>
  <c r="AC80" i="1"/>
  <c r="AD80" i="1"/>
  <c r="AE80" i="1"/>
  <c r="AF80" i="1"/>
  <c r="AG80" i="1"/>
  <c r="Z81" i="1"/>
  <c r="AA81" i="1"/>
  <c r="AB81" i="1"/>
  <c r="AC81" i="1"/>
  <c r="AD81" i="1"/>
  <c r="AE81" i="1"/>
  <c r="AF81" i="1"/>
  <c r="AG81" i="1"/>
  <c r="Z82" i="1"/>
  <c r="AA82" i="1"/>
  <c r="AB82" i="1"/>
  <c r="AC82" i="1"/>
  <c r="AD82" i="1"/>
  <c r="AE82" i="1"/>
  <c r="AF82" i="1"/>
  <c r="AG82" i="1"/>
  <c r="Z83" i="1"/>
  <c r="AA83" i="1"/>
  <c r="AB83" i="1"/>
  <c r="AC83" i="1"/>
  <c r="AD83" i="1"/>
  <c r="AE83" i="1"/>
  <c r="AF83" i="1"/>
  <c r="AG83" i="1"/>
  <c r="Z84" i="1"/>
  <c r="AA84" i="1"/>
  <c r="AB84" i="1"/>
  <c r="AC84" i="1"/>
  <c r="AD84" i="1"/>
  <c r="AE84" i="1"/>
  <c r="AF84" i="1"/>
  <c r="AG84" i="1"/>
  <c r="Z85" i="1"/>
  <c r="AA85" i="1"/>
  <c r="AB85" i="1"/>
  <c r="AC85" i="1"/>
  <c r="AD85" i="1"/>
  <c r="AE85" i="1"/>
  <c r="AF85" i="1"/>
  <c r="AG85" i="1"/>
  <c r="Z86" i="1"/>
  <c r="AA86" i="1"/>
  <c r="AB86" i="1"/>
  <c r="AC86" i="1"/>
  <c r="AD86" i="1"/>
  <c r="AE86" i="1"/>
  <c r="AF86" i="1"/>
  <c r="AG86" i="1"/>
  <c r="Z87" i="1"/>
  <c r="AA87" i="1"/>
  <c r="AB87" i="1"/>
  <c r="AC87" i="1"/>
  <c r="AD87" i="1"/>
  <c r="AE87" i="1"/>
  <c r="AF87" i="1"/>
  <c r="AG87" i="1"/>
  <c r="Z88" i="1"/>
  <c r="AA88" i="1"/>
  <c r="AB88" i="1"/>
  <c r="AC88" i="1"/>
  <c r="AD88" i="1"/>
  <c r="AE88" i="1"/>
  <c r="AF88" i="1"/>
  <c r="AG88" i="1"/>
  <c r="Z89" i="1"/>
  <c r="AA89" i="1"/>
  <c r="AB89" i="1"/>
  <c r="AC89" i="1"/>
  <c r="AD89" i="1"/>
  <c r="AE89" i="1"/>
  <c r="AF89" i="1"/>
  <c r="AG89" i="1"/>
  <c r="Z90" i="1"/>
  <c r="AA90" i="1"/>
  <c r="AB90" i="1"/>
  <c r="AC90" i="1"/>
  <c r="AD90" i="1"/>
  <c r="AE90" i="1"/>
  <c r="AF90" i="1"/>
  <c r="AG90" i="1"/>
  <c r="Z91" i="1"/>
  <c r="AA91" i="1"/>
  <c r="AB91" i="1"/>
  <c r="AC91" i="1"/>
  <c r="AD91" i="1"/>
  <c r="AE91" i="1"/>
  <c r="AF91" i="1"/>
  <c r="AG91" i="1"/>
  <c r="Z92" i="1"/>
  <c r="AA92" i="1"/>
  <c r="AB92" i="1"/>
  <c r="AC92" i="1"/>
  <c r="AD92" i="1"/>
  <c r="AE92" i="1"/>
  <c r="AF92" i="1"/>
  <c r="AG92" i="1"/>
  <c r="Z93" i="1"/>
  <c r="AA93" i="1"/>
  <c r="AB93" i="1"/>
  <c r="AC93" i="1"/>
  <c r="AD93" i="1"/>
  <c r="AE93" i="1"/>
  <c r="AF93" i="1"/>
  <c r="AG93" i="1"/>
  <c r="Z94" i="1"/>
  <c r="AA94" i="1"/>
  <c r="AB94" i="1"/>
  <c r="AC94" i="1"/>
  <c r="AD94" i="1"/>
  <c r="AE94" i="1"/>
  <c r="AF94" i="1"/>
  <c r="AG94" i="1"/>
  <c r="Z95" i="1"/>
  <c r="AA95" i="1"/>
  <c r="AB95" i="1"/>
  <c r="AC95" i="1"/>
  <c r="AD95" i="1"/>
  <c r="AE95" i="1"/>
  <c r="AF95" i="1"/>
  <c r="AG95" i="1"/>
  <c r="Z96" i="1"/>
  <c r="AA96" i="1"/>
  <c r="AB96" i="1"/>
  <c r="AC96" i="1"/>
  <c r="AD96" i="1"/>
  <c r="AE96" i="1"/>
  <c r="AF96" i="1"/>
  <c r="AG96" i="1"/>
  <c r="Z97" i="1"/>
  <c r="AA97" i="1"/>
  <c r="AB97" i="1"/>
  <c r="AC97" i="1"/>
  <c r="AD97" i="1"/>
  <c r="AE97" i="1"/>
  <c r="AF97" i="1"/>
  <c r="AG97" i="1"/>
  <c r="Z98" i="1"/>
  <c r="AA98" i="1"/>
  <c r="AB98" i="1"/>
  <c r="AC98" i="1"/>
  <c r="AD98" i="1"/>
  <c r="AE98" i="1"/>
  <c r="AF98" i="1"/>
  <c r="AG98" i="1"/>
  <c r="Z99" i="1"/>
  <c r="AA99" i="1"/>
  <c r="AB99" i="1"/>
  <c r="AC99" i="1"/>
  <c r="AD99" i="1"/>
  <c r="AE99" i="1"/>
  <c r="AF99" i="1"/>
  <c r="AG99" i="1"/>
  <c r="Z100" i="1"/>
  <c r="AA100" i="1"/>
  <c r="AB100" i="1"/>
  <c r="AC100" i="1"/>
  <c r="AD100" i="1"/>
  <c r="AE100" i="1"/>
  <c r="AF100" i="1"/>
  <c r="AG100" i="1"/>
  <c r="Z101" i="1"/>
  <c r="AA101" i="1"/>
  <c r="AB101" i="1"/>
  <c r="AC101" i="1"/>
  <c r="AD101" i="1"/>
  <c r="AE101" i="1"/>
  <c r="AF101" i="1"/>
  <c r="AG101" i="1"/>
  <c r="Z102" i="1"/>
  <c r="AA102" i="1"/>
  <c r="AB102" i="1"/>
  <c r="AC102" i="1"/>
  <c r="AD102" i="1"/>
  <c r="AE102" i="1"/>
  <c r="AF102" i="1"/>
  <c r="AG102" i="1"/>
  <c r="Z103" i="1"/>
  <c r="AA103" i="1"/>
  <c r="AB103" i="1"/>
  <c r="AC103" i="1"/>
  <c r="AD103" i="1"/>
  <c r="AE103" i="1"/>
  <c r="AF103" i="1"/>
  <c r="AG103" i="1"/>
  <c r="Z104" i="1"/>
  <c r="AA104" i="1"/>
  <c r="AB104" i="1"/>
  <c r="AC104" i="1"/>
  <c r="AD104" i="1"/>
  <c r="AE104" i="1"/>
  <c r="AF104" i="1"/>
  <c r="AG104" i="1"/>
  <c r="Z105" i="1"/>
  <c r="AA105" i="1"/>
  <c r="AB105" i="1"/>
  <c r="AC105" i="1"/>
  <c r="AD105" i="1"/>
  <c r="AE105" i="1"/>
  <c r="AF105" i="1"/>
  <c r="AG105" i="1"/>
  <c r="Z106" i="1"/>
  <c r="AA106" i="1"/>
  <c r="AB106" i="1"/>
  <c r="AC106" i="1"/>
  <c r="AD106" i="1"/>
  <c r="AE106" i="1"/>
  <c r="AF106" i="1"/>
  <c r="AG106" i="1"/>
  <c r="Z107" i="1"/>
  <c r="AA107" i="1"/>
  <c r="AB107" i="1"/>
  <c r="AC107" i="1"/>
  <c r="AD107" i="1"/>
  <c r="AE107" i="1"/>
  <c r="AF107" i="1"/>
  <c r="AG107" i="1"/>
  <c r="Z108" i="1"/>
  <c r="AA108" i="1"/>
  <c r="AB108" i="1"/>
  <c r="AC108" i="1"/>
  <c r="AD108" i="1"/>
  <c r="AE108" i="1"/>
  <c r="AF108" i="1"/>
  <c r="AG108" i="1"/>
  <c r="Z109" i="1"/>
  <c r="AA109" i="1"/>
  <c r="AB109" i="1"/>
  <c r="AC109" i="1"/>
  <c r="AD109" i="1"/>
  <c r="AE109" i="1"/>
  <c r="AF109" i="1"/>
  <c r="AG109" i="1"/>
  <c r="Z110" i="1"/>
  <c r="AA110" i="1"/>
  <c r="AB110" i="1"/>
  <c r="AC110" i="1"/>
  <c r="AD110" i="1"/>
  <c r="AE110" i="1"/>
  <c r="AF110" i="1"/>
  <c r="AG110" i="1"/>
  <c r="Z111" i="1"/>
  <c r="AA111" i="1"/>
  <c r="AB111" i="1"/>
  <c r="AC111" i="1"/>
  <c r="AD111" i="1"/>
  <c r="AE111" i="1"/>
  <c r="AF111" i="1"/>
  <c r="AG111" i="1"/>
  <c r="Z112" i="1"/>
  <c r="AA112" i="1"/>
  <c r="AB112" i="1"/>
  <c r="AC112" i="1"/>
  <c r="AD112" i="1"/>
  <c r="AE112" i="1"/>
  <c r="AF112" i="1"/>
  <c r="AG112" i="1"/>
  <c r="Z113" i="1"/>
  <c r="AA113" i="1"/>
  <c r="AB113" i="1"/>
  <c r="AC113" i="1"/>
  <c r="AD113" i="1"/>
  <c r="AE113" i="1"/>
  <c r="AF113" i="1"/>
  <c r="AG113" i="1"/>
  <c r="Z114" i="1"/>
  <c r="AA114" i="1"/>
  <c r="AB114" i="1"/>
  <c r="AC114" i="1"/>
  <c r="AD114" i="1"/>
  <c r="AE114" i="1"/>
  <c r="AF114" i="1"/>
  <c r="AG114" i="1"/>
  <c r="Z115" i="1"/>
  <c r="AA115" i="1"/>
  <c r="AB115" i="1"/>
  <c r="AC115" i="1"/>
  <c r="AD115" i="1"/>
  <c r="AE115" i="1"/>
  <c r="AF115" i="1"/>
  <c r="AG115" i="1"/>
  <c r="Z116" i="1"/>
  <c r="AA116" i="1"/>
  <c r="AB116" i="1"/>
  <c r="AC116" i="1"/>
  <c r="AD116" i="1"/>
  <c r="AE116" i="1"/>
  <c r="AF116" i="1"/>
  <c r="AG116" i="1"/>
  <c r="Z117" i="1"/>
  <c r="AA117" i="1"/>
  <c r="AB117" i="1"/>
  <c r="AC117" i="1"/>
  <c r="AD117" i="1"/>
  <c r="AE117" i="1"/>
  <c r="AF117" i="1"/>
  <c r="AG117" i="1"/>
  <c r="Z118" i="1"/>
  <c r="AA118" i="1"/>
  <c r="AB118" i="1"/>
  <c r="AC118" i="1"/>
  <c r="AD118" i="1"/>
  <c r="AE118" i="1"/>
  <c r="AF118" i="1"/>
  <c r="AG118" i="1"/>
  <c r="Z119" i="1"/>
  <c r="AA119" i="1"/>
  <c r="AB119" i="1"/>
  <c r="AC119" i="1"/>
  <c r="AD119" i="1"/>
  <c r="AE119" i="1"/>
  <c r="AF119" i="1"/>
  <c r="AG119" i="1"/>
  <c r="Z120" i="1"/>
  <c r="AA120" i="1"/>
  <c r="AB120" i="1"/>
  <c r="AC120" i="1"/>
  <c r="AD120" i="1"/>
  <c r="AE120" i="1"/>
  <c r="AF120" i="1"/>
  <c r="AG120" i="1"/>
  <c r="Z121" i="1"/>
  <c r="AA121" i="1"/>
  <c r="AB121" i="1"/>
  <c r="AC121" i="1"/>
  <c r="AD121" i="1"/>
  <c r="AE121" i="1"/>
  <c r="AF121" i="1"/>
  <c r="AG121" i="1"/>
  <c r="Z122" i="1"/>
  <c r="AA122" i="1"/>
  <c r="AB122" i="1"/>
  <c r="AC122" i="1"/>
  <c r="AD122" i="1"/>
  <c r="AE122" i="1"/>
  <c r="AF122" i="1"/>
  <c r="AG122" i="1"/>
  <c r="Z123" i="1"/>
  <c r="AA123" i="1"/>
  <c r="AB123" i="1"/>
  <c r="AC123" i="1"/>
  <c r="AD123" i="1"/>
  <c r="AE123" i="1"/>
  <c r="AF123" i="1"/>
  <c r="AG123" i="1"/>
  <c r="Z124" i="1"/>
  <c r="AA124" i="1"/>
  <c r="AB124" i="1"/>
  <c r="AC124" i="1"/>
  <c r="AD124" i="1"/>
  <c r="AE124" i="1"/>
  <c r="AF124" i="1"/>
  <c r="AG124" i="1"/>
  <c r="Z125" i="1"/>
  <c r="AA125" i="1"/>
  <c r="AB125" i="1"/>
  <c r="AC125" i="1"/>
  <c r="AD125" i="1"/>
  <c r="AE125" i="1"/>
  <c r="AF125" i="1"/>
  <c r="AG125" i="1"/>
  <c r="Z126" i="1"/>
  <c r="AA126" i="1"/>
  <c r="AB126" i="1"/>
  <c r="AC126" i="1"/>
  <c r="AD126" i="1"/>
  <c r="AE126" i="1"/>
  <c r="AF126" i="1"/>
  <c r="AG126" i="1"/>
  <c r="Z127" i="1"/>
  <c r="AA127" i="1"/>
  <c r="AB127" i="1"/>
  <c r="AC127" i="1"/>
  <c r="AD127" i="1"/>
  <c r="AE127" i="1"/>
  <c r="AF127" i="1"/>
  <c r="AG127" i="1"/>
  <c r="Z128" i="1"/>
  <c r="AA128" i="1"/>
  <c r="AB128" i="1"/>
  <c r="AC128" i="1"/>
  <c r="AD128" i="1"/>
  <c r="AE128" i="1"/>
  <c r="AF128" i="1"/>
  <c r="AG128" i="1"/>
  <c r="Z129" i="1"/>
  <c r="AA129" i="1"/>
  <c r="AB129" i="1"/>
  <c r="AC129" i="1"/>
  <c r="AD129" i="1"/>
  <c r="AE129" i="1"/>
  <c r="AF129" i="1"/>
  <c r="AG129" i="1"/>
  <c r="Z130" i="1"/>
  <c r="AA130" i="1"/>
  <c r="AB130" i="1"/>
  <c r="AC130" i="1"/>
  <c r="AD130" i="1"/>
  <c r="AE130" i="1"/>
  <c r="AF130" i="1"/>
  <c r="AG130" i="1"/>
  <c r="Z131" i="1"/>
  <c r="AA131" i="1"/>
  <c r="AB131" i="1"/>
  <c r="AC131" i="1"/>
  <c r="AD131" i="1"/>
  <c r="AE131" i="1"/>
  <c r="AF131" i="1"/>
  <c r="AG131" i="1"/>
  <c r="Z132" i="1"/>
  <c r="AA132" i="1"/>
  <c r="AB132" i="1"/>
  <c r="AC132" i="1"/>
  <c r="AD132" i="1"/>
  <c r="AE132" i="1"/>
  <c r="AF132" i="1"/>
  <c r="AG132" i="1"/>
  <c r="Z133" i="1"/>
  <c r="AA133" i="1"/>
  <c r="AB133" i="1"/>
  <c r="AC133" i="1"/>
  <c r="AD133" i="1"/>
  <c r="AE133" i="1"/>
  <c r="AF133" i="1"/>
  <c r="AG133" i="1"/>
  <c r="Z134" i="1"/>
  <c r="AA134" i="1"/>
  <c r="AB134" i="1"/>
  <c r="AC134" i="1"/>
  <c r="AD134" i="1"/>
  <c r="AE134" i="1"/>
  <c r="AF134" i="1"/>
  <c r="AG134" i="1"/>
  <c r="Z135" i="1"/>
  <c r="AA135" i="1"/>
  <c r="AB135" i="1"/>
  <c r="AC135" i="1"/>
  <c r="AD135" i="1"/>
  <c r="AE135" i="1"/>
  <c r="AF135" i="1"/>
  <c r="AG135" i="1"/>
  <c r="Z136" i="1"/>
  <c r="AA136" i="1"/>
  <c r="AB136" i="1"/>
  <c r="AC136" i="1"/>
  <c r="AD136" i="1"/>
  <c r="AE136" i="1"/>
  <c r="AF136" i="1"/>
  <c r="AG136" i="1"/>
  <c r="Z137" i="1"/>
  <c r="AA137" i="1"/>
  <c r="AB137" i="1"/>
  <c r="AC137" i="1"/>
  <c r="AD137" i="1"/>
  <c r="AE137" i="1"/>
  <c r="AF137" i="1"/>
  <c r="AG137" i="1"/>
  <c r="Z138" i="1"/>
  <c r="AA138" i="1"/>
  <c r="AB138" i="1"/>
  <c r="AC138" i="1"/>
  <c r="AD138" i="1"/>
  <c r="AE138" i="1"/>
  <c r="AF138" i="1"/>
  <c r="AG138" i="1"/>
  <c r="Z139" i="1"/>
  <c r="AA139" i="1"/>
  <c r="AB139" i="1"/>
  <c r="AC139" i="1"/>
  <c r="AD139" i="1"/>
  <c r="AE139" i="1"/>
  <c r="AF139" i="1"/>
  <c r="AG139" i="1"/>
  <c r="Z140" i="1"/>
  <c r="AA140" i="1"/>
  <c r="AB140" i="1"/>
  <c r="AC140" i="1"/>
  <c r="AD140" i="1"/>
  <c r="AE140" i="1"/>
  <c r="AF140" i="1"/>
  <c r="AG140" i="1"/>
  <c r="Z141" i="1"/>
  <c r="AA141" i="1"/>
  <c r="AB141" i="1"/>
  <c r="AC141" i="1"/>
  <c r="AD141" i="1"/>
  <c r="AE141" i="1"/>
  <c r="AF141" i="1"/>
  <c r="AG141" i="1"/>
  <c r="Z142" i="1"/>
  <c r="AA142" i="1"/>
  <c r="AB142" i="1"/>
  <c r="AC142" i="1"/>
  <c r="AD142" i="1"/>
  <c r="AE142" i="1"/>
  <c r="AF142" i="1"/>
  <c r="AG142" i="1"/>
  <c r="Z143" i="1"/>
  <c r="AA143" i="1"/>
  <c r="AB143" i="1"/>
  <c r="AC143" i="1"/>
  <c r="AD143" i="1"/>
  <c r="AE143" i="1"/>
  <c r="AF143" i="1"/>
  <c r="AG143" i="1"/>
  <c r="Z144" i="1"/>
  <c r="AA144" i="1"/>
  <c r="AB144" i="1"/>
  <c r="AC144" i="1"/>
  <c r="AD144" i="1"/>
  <c r="AE144" i="1"/>
  <c r="AF144" i="1"/>
  <c r="AG144" i="1"/>
  <c r="Z145" i="1"/>
  <c r="AA145" i="1"/>
  <c r="AB145" i="1"/>
  <c r="AC145" i="1"/>
  <c r="AD145" i="1"/>
  <c r="AE145" i="1"/>
  <c r="AF145" i="1"/>
  <c r="AG145" i="1"/>
  <c r="Z146" i="1"/>
  <c r="AA146" i="1"/>
  <c r="AB146" i="1"/>
  <c r="AC146" i="1"/>
  <c r="AD146" i="1"/>
  <c r="AE146" i="1"/>
  <c r="AF146" i="1"/>
  <c r="AG146" i="1"/>
  <c r="Z147" i="1"/>
  <c r="AA147" i="1"/>
  <c r="AB147" i="1"/>
  <c r="AC147" i="1"/>
  <c r="AD147" i="1"/>
  <c r="AE147" i="1"/>
  <c r="AF147" i="1"/>
  <c r="AG147" i="1"/>
  <c r="Z148" i="1"/>
  <c r="AA148" i="1"/>
  <c r="AB148" i="1"/>
  <c r="AC148" i="1"/>
  <c r="AD148" i="1"/>
  <c r="AE148" i="1"/>
  <c r="AF148" i="1"/>
  <c r="AG148" i="1"/>
  <c r="Z149" i="1"/>
  <c r="AA149" i="1"/>
  <c r="AB149" i="1"/>
  <c r="AC149" i="1"/>
  <c r="AD149" i="1"/>
  <c r="AE149" i="1"/>
  <c r="AF149" i="1"/>
  <c r="AG149" i="1"/>
  <c r="Z150" i="1"/>
  <c r="AA150" i="1"/>
  <c r="AB150" i="1"/>
  <c r="AC150" i="1"/>
  <c r="AD150" i="1"/>
  <c r="AE150" i="1"/>
  <c r="AF150" i="1"/>
  <c r="AG150" i="1"/>
  <c r="Z151" i="1"/>
  <c r="AA151" i="1"/>
  <c r="AB151" i="1"/>
  <c r="AC151" i="1"/>
  <c r="AD151" i="1"/>
  <c r="AE151" i="1"/>
  <c r="AF151" i="1"/>
  <c r="AG151" i="1"/>
  <c r="Z152" i="1"/>
  <c r="AA152" i="1"/>
  <c r="AB152" i="1"/>
  <c r="AC152" i="1"/>
  <c r="AD152" i="1"/>
  <c r="AE152" i="1"/>
  <c r="AF152" i="1"/>
  <c r="AG152" i="1"/>
  <c r="Z153" i="1"/>
  <c r="AA153" i="1"/>
  <c r="AB153" i="1"/>
  <c r="AC153" i="1"/>
  <c r="AD153" i="1"/>
  <c r="AE153" i="1"/>
  <c r="AF153" i="1"/>
  <c r="AG153" i="1"/>
  <c r="Z154" i="1"/>
  <c r="AA154" i="1"/>
  <c r="AB154" i="1"/>
  <c r="AC154" i="1"/>
  <c r="AD154" i="1"/>
  <c r="AE154" i="1"/>
  <c r="AF154" i="1"/>
  <c r="AG154" i="1"/>
  <c r="Z155" i="1"/>
  <c r="AA155" i="1"/>
  <c r="AB155" i="1"/>
  <c r="AC155" i="1"/>
  <c r="AD155" i="1"/>
  <c r="AE155" i="1"/>
  <c r="AF155" i="1"/>
  <c r="AG155" i="1"/>
  <c r="Z156" i="1"/>
  <c r="AA156" i="1"/>
  <c r="AB156" i="1"/>
  <c r="AC156" i="1"/>
  <c r="AD156" i="1"/>
  <c r="AE156" i="1"/>
  <c r="AF156" i="1"/>
  <c r="AG156" i="1"/>
  <c r="Z157" i="1"/>
  <c r="AA157" i="1"/>
  <c r="AB157" i="1"/>
  <c r="AC157" i="1"/>
  <c r="AD157" i="1"/>
  <c r="AE157" i="1"/>
  <c r="AF157" i="1"/>
  <c r="AG157" i="1"/>
  <c r="Z158" i="1"/>
  <c r="AA158" i="1"/>
  <c r="AB158" i="1"/>
  <c r="AC158" i="1"/>
  <c r="AD158" i="1"/>
  <c r="AE158" i="1"/>
  <c r="AF158" i="1"/>
  <c r="AG158" i="1"/>
  <c r="Z159" i="1"/>
  <c r="AA159" i="1"/>
  <c r="AB159" i="1"/>
  <c r="AC159" i="1"/>
  <c r="AD159" i="1"/>
  <c r="AE159" i="1"/>
  <c r="AF159" i="1"/>
  <c r="AG159" i="1"/>
  <c r="Z160" i="1"/>
  <c r="AA160" i="1"/>
  <c r="AB160" i="1"/>
  <c r="AC160" i="1"/>
  <c r="AD160" i="1"/>
  <c r="AE160" i="1"/>
  <c r="AF160" i="1"/>
  <c r="AG160" i="1"/>
  <c r="Z161" i="1"/>
  <c r="AA161" i="1"/>
  <c r="AB161" i="1"/>
  <c r="AC161" i="1"/>
  <c r="AD161" i="1"/>
  <c r="AE161" i="1"/>
  <c r="AF161" i="1"/>
  <c r="AG161" i="1"/>
  <c r="Z162" i="1"/>
  <c r="AA162" i="1"/>
  <c r="AB162" i="1"/>
  <c r="AC162" i="1"/>
  <c r="AD162" i="1"/>
  <c r="AE162" i="1"/>
  <c r="AF162" i="1"/>
  <c r="AG162" i="1"/>
  <c r="Z163" i="1"/>
  <c r="AA163" i="1"/>
  <c r="AB163" i="1"/>
  <c r="AC163" i="1"/>
  <c r="AD163" i="1"/>
  <c r="AE163" i="1"/>
  <c r="AF163" i="1"/>
  <c r="AG163" i="1"/>
  <c r="Z164" i="1"/>
  <c r="AA164" i="1"/>
  <c r="AB164" i="1"/>
  <c r="AC164" i="1"/>
  <c r="AD164" i="1"/>
  <c r="AE164" i="1"/>
  <c r="AF164" i="1"/>
  <c r="AG164" i="1"/>
  <c r="Z165" i="1"/>
  <c r="AA165" i="1"/>
  <c r="AB165" i="1"/>
  <c r="AC165" i="1"/>
  <c r="AD165" i="1"/>
  <c r="AE165" i="1"/>
  <c r="AF165" i="1"/>
  <c r="AG165" i="1"/>
  <c r="Z166" i="1"/>
  <c r="AA166" i="1"/>
  <c r="AB166" i="1"/>
  <c r="AC166" i="1"/>
  <c r="AD166" i="1"/>
  <c r="AE166" i="1"/>
  <c r="AF166" i="1"/>
  <c r="AG166" i="1"/>
  <c r="Z167" i="1"/>
  <c r="AA167" i="1"/>
  <c r="AB167" i="1"/>
  <c r="AC167" i="1"/>
  <c r="AD167" i="1"/>
  <c r="AE167" i="1"/>
  <c r="AF167" i="1"/>
  <c r="AG167" i="1"/>
  <c r="Z168" i="1"/>
  <c r="AA168" i="1"/>
  <c r="AB168" i="1"/>
  <c r="AC168" i="1"/>
  <c r="AD168" i="1"/>
  <c r="AE168" i="1"/>
  <c r="AF168" i="1"/>
  <c r="AG168" i="1"/>
  <c r="Z169" i="1"/>
  <c r="AA169" i="1"/>
  <c r="AB169" i="1"/>
  <c r="AC169" i="1"/>
  <c r="AD169" i="1"/>
  <c r="AE169" i="1"/>
  <c r="AF169" i="1"/>
  <c r="AG169" i="1"/>
  <c r="Z170" i="1"/>
  <c r="AA170" i="1"/>
  <c r="AB170" i="1"/>
  <c r="AC170" i="1"/>
  <c r="AD170" i="1"/>
  <c r="AE170" i="1"/>
  <c r="AF170" i="1"/>
  <c r="AG170" i="1"/>
  <c r="Z171" i="1"/>
  <c r="AA171" i="1"/>
  <c r="AB171" i="1"/>
  <c r="AC171" i="1"/>
  <c r="AD171" i="1"/>
  <c r="AE171" i="1"/>
  <c r="AF171" i="1"/>
  <c r="AG171" i="1"/>
  <c r="Z172" i="1"/>
  <c r="AA172" i="1"/>
  <c r="AB172" i="1"/>
  <c r="AC172" i="1"/>
  <c r="AD172" i="1"/>
  <c r="AE172" i="1"/>
  <c r="AF172" i="1"/>
  <c r="AG172" i="1"/>
  <c r="Z173" i="1"/>
  <c r="AA173" i="1"/>
  <c r="AB173" i="1"/>
  <c r="AC173" i="1"/>
  <c r="AD173" i="1"/>
  <c r="AE173" i="1"/>
  <c r="AF173" i="1"/>
  <c r="AG173" i="1"/>
  <c r="Z174" i="1"/>
  <c r="AA174" i="1"/>
  <c r="AB174" i="1"/>
  <c r="AC174" i="1"/>
  <c r="AD174" i="1"/>
  <c r="AE174" i="1"/>
  <c r="AF174" i="1"/>
  <c r="AG174" i="1"/>
  <c r="Z175" i="1"/>
  <c r="AA175" i="1"/>
  <c r="AB175" i="1"/>
  <c r="AC175" i="1"/>
  <c r="AD175" i="1"/>
  <c r="AE175" i="1"/>
  <c r="AF175" i="1"/>
  <c r="AG175" i="1"/>
  <c r="Z176" i="1"/>
  <c r="AA176" i="1"/>
  <c r="AB176" i="1"/>
  <c r="AC176" i="1"/>
  <c r="AD176" i="1"/>
  <c r="AE176" i="1"/>
  <c r="AF176" i="1"/>
  <c r="AG176" i="1"/>
  <c r="Z177" i="1"/>
  <c r="AA177" i="1"/>
  <c r="AB177" i="1"/>
  <c r="AC177" i="1"/>
  <c r="AD177" i="1"/>
  <c r="AE177" i="1"/>
  <c r="AF177" i="1"/>
  <c r="AG177" i="1"/>
  <c r="Z178" i="1"/>
  <c r="AA178" i="1"/>
  <c r="AB178" i="1"/>
  <c r="AC178" i="1"/>
  <c r="AD178" i="1"/>
  <c r="AE178" i="1"/>
  <c r="AF178" i="1"/>
  <c r="AG178" i="1"/>
  <c r="Z179" i="1"/>
  <c r="AA179" i="1"/>
  <c r="AB179" i="1"/>
  <c r="AC179" i="1"/>
  <c r="AD179" i="1"/>
  <c r="AE179" i="1"/>
  <c r="AF179" i="1"/>
  <c r="AG179" i="1"/>
  <c r="Z180" i="1"/>
  <c r="AA180" i="1"/>
  <c r="AB180" i="1"/>
  <c r="AC180" i="1"/>
  <c r="AD180" i="1"/>
  <c r="AE180" i="1"/>
  <c r="AF180" i="1"/>
  <c r="AG180" i="1"/>
  <c r="Z181" i="1"/>
  <c r="AA181" i="1"/>
  <c r="AB181" i="1"/>
  <c r="AC181" i="1"/>
  <c r="AD181" i="1"/>
  <c r="AE181" i="1"/>
  <c r="AF181" i="1"/>
  <c r="AG181" i="1"/>
  <c r="Z182" i="1"/>
  <c r="AA182" i="1"/>
  <c r="AB182" i="1"/>
  <c r="AC182" i="1"/>
  <c r="AD182" i="1"/>
  <c r="AE182" i="1"/>
  <c r="AF182" i="1"/>
  <c r="AG182" i="1"/>
  <c r="Z183" i="1"/>
  <c r="AA183" i="1"/>
  <c r="AB183" i="1"/>
  <c r="AC183" i="1"/>
  <c r="AD183" i="1"/>
  <c r="AE183" i="1"/>
  <c r="AF183" i="1"/>
  <c r="AG183" i="1"/>
  <c r="Z184" i="1"/>
  <c r="AA184" i="1"/>
  <c r="AB184" i="1"/>
  <c r="AC184" i="1"/>
  <c r="AD184" i="1"/>
  <c r="AE184" i="1"/>
  <c r="AF184" i="1"/>
  <c r="AG184" i="1"/>
  <c r="Z185" i="1"/>
  <c r="AA185" i="1"/>
  <c r="AB185" i="1"/>
  <c r="AC185" i="1"/>
  <c r="AD185" i="1"/>
  <c r="AE185" i="1"/>
  <c r="AF185" i="1"/>
  <c r="AG185" i="1"/>
  <c r="Z186" i="1"/>
  <c r="AA186" i="1"/>
  <c r="AB186" i="1"/>
  <c r="AC186" i="1"/>
  <c r="AD186" i="1"/>
  <c r="AE186" i="1"/>
  <c r="AF186" i="1"/>
  <c r="AG186" i="1"/>
  <c r="Z187" i="1"/>
  <c r="AA187" i="1"/>
  <c r="AB187" i="1"/>
  <c r="AC187" i="1"/>
  <c r="AD187" i="1"/>
  <c r="AE187" i="1"/>
  <c r="AF187" i="1"/>
  <c r="AG187" i="1"/>
  <c r="Z188" i="1"/>
  <c r="AA188" i="1"/>
  <c r="AB188" i="1"/>
  <c r="AC188" i="1"/>
  <c r="AD188" i="1"/>
  <c r="AE188" i="1"/>
  <c r="AF188" i="1"/>
  <c r="AG188" i="1"/>
  <c r="Z189" i="1"/>
  <c r="AA189" i="1"/>
  <c r="AB189" i="1"/>
  <c r="AC189" i="1"/>
  <c r="AD189" i="1"/>
  <c r="AE189" i="1"/>
  <c r="AF189" i="1"/>
  <c r="AG189" i="1"/>
  <c r="Z190" i="1"/>
  <c r="AA190" i="1"/>
  <c r="AB190" i="1"/>
  <c r="AC190" i="1"/>
  <c r="AD190" i="1"/>
  <c r="AE190" i="1"/>
  <c r="AF190" i="1"/>
  <c r="AG190" i="1"/>
  <c r="Z191" i="1"/>
  <c r="AA191" i="1"/>
  <c r="AB191" i="1"/>
  <c r="AC191" i="1"/>
  <c r="AD191" i="1"/>
  <c r="AE191" i="1"/>
  <c r="AF191" i="1"/>
  <c r="AG191" i="1"/>
  <c r="Z192" i="1"/>
  <c r="AA192" i="1"/>
  <c r="AB192" i="1"/>
  <c r="AC192" i="1"/>
  <c r="AD192" i="1"/>
  <c r="AE192" i="1"/>
  <c r="AF192" i="1"/>
  <c r="AG192" i="1"/>
  <c r="Z193" i="1"/>
  <c r="AA193" i="1"/>
  <c r="AB193" i="1"/>
  <c r="AC193" i="1"/>
  <c r="AD193" i="1"/>
  <c r="AE193" i="1"/>
  <c r="AF193" i="1"/>
  <c r="AG193" i="1"/>
  <c r="Z194" i="1"/>
  <c r="AA194" i="1"/>
  <c r="AB194" i="1"/>
  <c r="AC194" i="1"/>
  <c r="AD194" i="1"/>
  <c r="AE194" i="1"/>
  <c r="AF194" i="1"/>
  <c r="AG194" i="1"/>
  <c r="Z195" i="1"/>
  <c r="AA195" i="1"/>
  <c r="AB195" i="1"/>
  <c r="AC195" i="1"/>
  <c r="AD195" i="1"/>
  <c r="AE195" i="1"/>
  <c r="AF195" i="1"/>
  <c r="AG195" i="1"/>
  <c r="Z196" i="1"/>
  <c r="AA196" i="1"/>
  <c r="AB196" i="1"/>
  <c r="AC196" i="1"/>
  <c r="AD196" i="1"/>
  <c r="AE196" i="1"/>
  <c r="AF196" i="1"/>
  <c r="AG196" i="1"/>
  <c r="Z197" i="1"/>
  <c r="AA197" i="1"/>
  <c r="AB197" i="1"/>
  <c r="AC197" i="1"/>
  <c r="AD197" i="1"/>
  <c r="AE197" i="1"/>
  <c r="AF197" i="1"/>
  <c r="AG197" i="1"/>
  <c r="Z198" i="1"/>
  <c r="AA198" i="1"/>
  <c r="AB198" i="1"/>
  <c r="AC198" i="1"/>
  <c r="AD198" i="1"/>
  <c r="AE198" i="1"/>
  <c r="AF198" i="1"/>
  <c r="AG198" i="1"/>
  <c r="Z199" i="1"/>
  <c r="AA199" i="1"/>
  <c r="AB199" i="1"/>
  <c r="AC199" i="1"/>
  <c r="AD199" i="1"/>
  <c r="AE199" i="1"/>
  <c r="AF199" i="1"/>
  <c r="AG199" i="1"/>
  <c r="Z200" i="1"/>
  <c r="AA200" i="1"/>
  <c r="AB200" i="1"/>
  <c r="AC200" i="1"/>
  <c r="AD200" i="1"/>
  <c r="AE200" i="1"/>
  <c r="AF200" i="1"/>
  <c r="AG200" i="1"/>
  <c r="Z201" i="1"/>
  <c r="AA201" i="1"/>
  <c r="AB201" i="1"/>
  <c r="AC201" i="1"/>
  <c r="AD201" i="1"/>
  <c r="AE201" i="1"/>
  <c r="AF201" i="1"/>
  <c r="AG201" i="1"/>
  <c r="Z202" i="1"/>
  <c r="AA202" i="1"/>
  <c r="AB202" i="1"/>
  <c r="AC202" i="1"/>
  <c r="AD202" i="1"/>
  <c r="AE202" i="1"/>
  <c r="AF202" i="1"/>
  <c r="AG202" i="1"/>
  <c r="Z203" i="1"/>
  <c r="AA203" i="1"/>
  <c r="AB203" i="1"/>
  <c r="AC203" i="1"/>
  <c r="AD203" i="1"/>
  <c r="AE203" i="1"/>
  <c r="AF203" i="1"/>
  <c r="AG203" i="1"/>
  <c r="Z204" i="1"/>
  <c r="AA204" i="1"/>
  <c r="AB204" i="1"/>
  <c r="AC204" i="1"/>
  <c r="AD204" i="1"/>
  <c r="AE204" i="1"/>
  <c r="AF204" i="1"/>
  <c r="AG204" i="1"/>
  <c r="Z205" i="1"/>
  <c r="AA205" i="1"/>
  <c r="AB205" i="1"/>
  <c r="AC205" i="1"/>
  <c r="AD205" i="1"/>
  <c r="AE205" i="1"/>
  <c r="AF205" i="1"/>
  <c r="AG205" i="1"/>
  <c r="Z206" i="1"/>
  <c r="AA206" i="1"/>
  <c r="AB206" i="1"/>
  <c r="AC206" i="1"/>
  <c r="AD206" i="1"/>
  <c r="AE206" i="1"/>
  <c r="AF206" i="1"/>
  <c r="AG206" i="1"/>
  <c r="Z207" i="1"/>
  <c r="AA207" i="1"/>
  <c r="AB207" i="1"/>
  <c r="AC207" i="1"/>
  <c r="AD207" i="1"/>
  <c r="AE207" i="1"/>
  <c r="AF207" i="1"/>
  <c r="AG207" i="1"/>
  <c r="Z208" i="1"/>
  <c r="AA208" i="1"/>
  <c r="AB208" i="1"/>
  <c r="AC208" i="1"/>
  <c r="AD208" i="1"/>
  <c r="AE208" i="1"/>
  <c r="AF208" i="1"/>
  <c r="AG208" i="1"/>
  <c r="Z209" i="1"/>
  <c r="AA209" i="1"/>
  <c r="AB209" i="1"/>
  <c r="AC209" i="1"/>
  <c r="AD209" i="1"/>
  <c r="AE209" i="1"/>
  <c r="AF209" i="1"/>
  <c r="AG209" i="1"/>
  <c r="Z210" i="1"/>
  <c r="AA210" i="1"/>
  <c r="AB210" i="1"/>
  <c r="AC210" i="1"/>
  <c r="AD210" i="1"/>
  <c r="AE210" i="1"/>
  <c r="AF210" i="1"/>
  <c r="AG210" i="1"/>
  <c r="Z211" i="1"/>
  <c r="AA211" i="1"/>
  <c r="AB211" i="1"/>
  <c r="AC211" i="1"/>
  <c r="AD211" i="1"/>
  <c r="AE211" i="1"/>
  <c r="AF211" i="1"/>
  <c r="AG211" i="1"/>
  <c r="Z212" i="1"/>
  <c r="AA212" i="1"/>
  <c r="AB212" i="1"/>
  <c r="AC212" i="1"/>
  <c r="AD212" i="1"/>
  <c r="AE212" i="1"/>
  <c r="AF212" i="1"/>
  <c r="AG212" i="1"/>
  <c r="Z213" i="1"/>
  <c r="AA213" i="1"/>
  <c r="AB213" i="1"/>
  <c r="AC213" i="1"/>
  <c r="AD213" i="1"/>
  <c r="AE213" i="1"/>
  <c r="AF213" i="1"/>
  <c r="AG213" i="1"/>
  <c r="Z214" i="1"/>
  <c r="AA214" i="1"/>
  <c r="AB214" i="1"/>
  <c r="AC214" i="1"/>
  <c r="AD214" i="1"/>
  <c r="AE214" i="1"/>
  <c r="AF214" i="1"/>
  <c r="AG214" i="1"/>
  <c r="Z215" i="1"/>
  <c r="AA215" i="1"/>
  <c r="AB215" i="1"/>
  <c r="AC215" i="1"/>
  <c r="AD215" i="1"/>
  <c r="AE215" i="1"/>
  <c r="AF215" i="1"/>
  <c r="AG215" i="1"/>
  <c r="Z216" i="1"/>
  <c r="AA216" i="1"/>
  <c r="AB216" i="1"/>
  <c r="AC216" i="1"/>
  <c r="AD216" i="1"/>
  <c r="AE216" i="1"/>
  <c r="AF216" i="1"/>
  <c r="AG216" i="1"/>
  <c r="Z217" i="1"/>
  <c r="AA217" i="1"/>
  <c r="AB217" i="1"/>
  <c r="AC217" i="1"/>
  <c r="AD217" i="1"/>
  <c r="AE217" i="1"/>
  <c r="AF217" i="1"/>
  <c r="AG217" i="1"/>
  <c r="Z218" i="1"/>
  <c r="AA218" i="1"/>
  <c r="AB218" i="1"/>
  <c r="AC218" i="1"/>
  <c r="AD218" i="1"/>
  <c r="AE218" i="1"/>
  <c r="AF218" i="1"/>
  <c r="AG218" i="1"/>
  <c r="Z219" i="1"/>
  <c r="AA219" i="1"/>
  <c r="AB219" i="1"/>
  <c r="AC219" i="1"/>
  <c r="AD219" i="1"/>
  <c r="AE219" i="1"/>
  <c r="AF219" i="1"/>
  <c r="AG219" i="1"/>
  <c r="Z220" i="1"/>
  <c r="AA220" i="1"/>
  <c r="AB220" i="1"/>
  <c r="AC220" i="1"/>
  <c r="AD220" i="1"/>
  <c r="AE220" i="1"/>
  <c r="AF220" i="1"/>
  <c r="AG220" i="1"/>
  <c r="Z221" i="1"/>
  <c r="AA221" i="1"/>
  <c r="AB221" i="1"/>
  <c r="AC221" i="1"/>
  <c r="AD221" i="1"/>
  <c r="AE221" i="1"/>
  <c r="AF221" i="1"/>
  <c r="AG221" i="1"/>
  <c r="Z222" i="1"/>
  <c r="AA222" i="1"/>
  <c r="AB222" i="1"/>
  <c r="AC222" i="1"/>
  <c r="AD222" i="1"/>
  <c r="AE222" i="1"/>
  <c r="AF222" i="1"/>
  <c r="AG222" i="1"/>
  <c r="Z223" i="1"/>
  <c r="AA223" i="1"/>
  <c r="AB223" i="1"/>
  <c r="AC223" i="1"/>
  <c r="AD223" i="1"/>
  <c r="AE223" i="1"/>
  <c r="AF223" i="1"/>
  <c r="AG223" i="1"/>
  <c r="Z224" i="1"/>
  <c r="AA224" i="1"/>
  <c r="AB224" i="1"/>
  <c r="AC224" i="1"/>
  <c r="AD224" i="1"/>
  <c r="AE224" i="1"/>
  <c r="AF224" i="1"/>
  <c r="AG224" i="1"/>
  <c r="Z225" i="1"/>
  <c r="AA225" i="1"/>
  <c r="AB225" i="1"/>
  <c r="AC225" i="1"/>
  <c r="AD225" i="1"/>
  <c r="AE225" i="1"/>
  <c r="AF225" i="1"/>
  <c r="AG225" i="1"/>
  <c r="Z226" i="1"/>
  <c r="AA226" i="1"/>
  <c r="AB226" i="1"/>
  <c r="AC226" i="1"/>
  <c r="AD226" i="1"/>
  <c r="AE226" i="1"/>
  <c r="AF226" i="1"/>
  <c r="AG226" i="1"/>
  <c r="Z227" i="1"/>
  <c r="AA227" i="1"/>
  <c r="AB227" i="1"/>
  <c r="AC227" i="1"/>
  <c r="AD227" i="1"/>
  <c r="AE227" i="1"/>
  <c r="AF227" i="1"/>
  <c r="AG227" i="1"/>
  <c r="Z228" i="1"/>
  <c r="AA228" i="1"/>
  <c r="AB228" i="1"/>
  <c r="AC228" i="1"/>
  <c r="AD228" i="1"/>
  <c r="AE228" i="1"/>
  <c r="AF228" i="1"/>
  <c r="AG228" i="1"/>
  <c r="Z229" i="1"/>
  <c r="AA229" i="1"/>
  <c r="AB229" i="1"/>
  <c r="AC229" i="1"/>
  <c r="AD229" i="1"/>
  <c r="AE229" i="1"/>
  <c r="AF229" i="1"/>
  <c r="AG229" i="1"/>
  <c r="Z230" i="1"/>
  <c r="AA230" i="1"/>
  <c r="AB230" i="1"/>
  <c r="AC230" i="1"/>
  <c r="AD230" i="1"/>
  <c r="AE230" i="1"/>
  <c r="AF230" i="1"/>
  <c r="AG230" i="1"/>
  <c r="Z231" i="1"/>
  <c r="AA231" i="1"/>
  <c r="AB231" i="1"/>
  <c r="AC231" i="1"/>
  <c r="AD231" i="1"/>
  <c r="AE231" i="1"/>
  <c r="AF231" i="1"/>
  <c r="AG231" i="1"/>
  <c r="Z232" i="1"/>
  <c r="AA232" i="1"/>
  <c r="AB232" i="1"/>
  <c r="AC232" i="1"/>
  <c r="AD232" i="1"/>
  <c r="AE232" i="1"/>
  <c r="AF232" i="1"/>
  <c r="AG232" i="1"/>
  <c r="Z233" i="1"/>
  <c r="AA233" i="1"/>
  <c r="AB233" i="1"/>
  <c r="AC233" i="1"/>
  <c r="AD233" i="1"/>
  <c r="AE233" i="1"/>
  <c r="AF233" i="1"/>
  <c r="AG233" i="1"/>
  <c r="Z234" i="1"/>
  <c r="AA234" i="1"/>
  <c r="AB234" i="1"/>
  <c r="AC234" i="1"/>
  <c r="AD234" i="1"/>
  <c r="AE234" i="1"/>
  <c r="AF234" i="1"/>
  <c r="AG234" i="1"/>
  <c r="Z235" i="1"/>
  <c r="AA235" i="1"/>
  <c r="AB235" i="1"/>
  <c r="AC235" i="1"/>
  <c r="AD235" i="1"/>
  <c r="AE235" i="1"/>
  <c r="AF235" i="1"/>
  <c r="AG235" i="1"/>
  <c r="Z236" i="1"/>
  <c r="AA236" i="1"/>
  <c r="AB236" i="1"/>
  <c r="AC236" i="1"/>
  <c r="AD236" i="1"/>
  <c r="AE236" i="1"/>
  <c r="AF236" i="1"/>
  <c r="AG236" i="1"/>
  <c r="Z237" i="1"/>
  <c r="AA237" i="1"/>
  <c r="AB237" i="1"/>
  <c r="AC237" i="1"/>
  <c r="AD237" i="1"/>
  <c r="AE237" i="1"/>
  <c r="AF237" i="1"/>
  <c r="AG237" i="1"/>
  <c r="Z238" i="1"/>
  <c r="AA238" i="1"/>
  <c r="AB238" i="1"/>
  <c r="AC238" i="1"/>
  <c r="AD238" i="1"/>
  <c r="AE238" i="1"/>
  <c r="AF238" i="1"/>
  <c r="AG238" i="1"/>
  <c r="Z239" i="1"/>
  <c r="AA239" i="1"/>
  <c r="AB239" i="1"/>
  <c r="AC239" i="1"/>
  <c r="AD239" i="1"/>
  <c r="AE239" i="1"/>
  <c r="AF239" i="1"/>
  <c r="AG239" i="1"/>
  <c r="Z240" i="1"/>
  <c r="AA240" i="1"/>
  <c r="AB240" i="1"/>
  <c r="AC240" i="1"/>
  <c r="AD240" i="1"/>
  <c r="AE240" i="1"/>
  <c r="AF240" i="1"/>
  <c r="AG240" i="1"/>
  <c r="Z241" i="1"/>
  <c r="AA241" i="1"/>
  <c r="AB241" i="1"/>
  <c r="AC241" i="1"/>
  <c r="AD241" i="1"/>
  <c r="AE241" i="1"/>
  <c r="AF241" i="1"/>
  <c r="AG241" i="1"/>
  <c r="Z242" i="1"/>
  <c r="AA242" i="1"/>
  <c r="AB242" i="1"/>
  <c r="AC242" i="1"/>
  <c r="AD242" i="1"/>
  <c r="AE242" i="1"/>
  <c r="AF242" i="1"/>
  <c r="AG242" i="1"/>
  <c r="Z243" i="1"/>
  <c r="AA243" i="1"/>
  <c r="AB243" i="1"/>
  <c r="AC243" i="1"/>
  <c r="AD243" i="1"/>
  <c r="AE243" i="1"/>
  <c r="AF243" i="1"/>
  <c r="AG243" i="1"/>
  <c r="Z244" i="1"/>
  <c r="AA244" i="1"/>
  <c r="AB244" i="1"/>
  <c r="AC244" i="1"/>
  <c r="AD244" i="1"/>
  <c r="AE244" i="1"/>
  <c r="AF244" i="1"/>
  <c r="AG244" i="1"/>
  <c r="Z245" i="1"/>
  <c r="AA245" i="1"/>
  <c r="AB245" i="1"/>
  <c r="AC245" i="1"/>
  <c r="AD245" i="1"/>
  <c r="AE245" i="1"/>
  <c r="AF245" i="1"/>
  <c r="AG245" i="1"/>
  <c r="Z246" i="1"/>
  <c r="AA246" i="1"/>
  <c r="AB246" i="1"/>
  <c r="AC246" i="1"/>
  <c r="AD246" i="1"/>
  <c r="AE246" i="1"/>
  <c r="AF246" i="1"/>
  <c r="AG246" i="1"/>
  <c r="Z247" i="1"/>
  <c r="AA247" i="1"/>
  <c r="AB247" i="1"/>
  <c r="AC247" i="1"/>
  <c r="AD247" i="1"/>
  <c r="AE247" i="1"/>
  <c r="AF247" i="1"/>
  <c r="AG247" i="1"/>
  <c r="Z248" i="1"/>
  <c r="AA248" i="1"/>
  <c r="AB248" i="1"/>
  <c r="AC248" i="1"/>
  <c r="AD248" i="1"/>
  <c r="AE248" i="1"/>
  <c r="AF248" i="1"/>
  <c r="AG248" i="1"/>
  <c r="Z249" i="1"/>
  <c r="AA249" i="1"/>
  <c r="AB249" i="1"/>
  <c r="AC249" i="1"/>
  <c r="AD249" i="1"/>
  <c r="AE249" i="1"/>
  <c r="AF249" i="1"/>
  <c r="AG249" i="1"/>
  <c r="Z250" i="1"/>
  <c r="AA250" i="1"/>
  <c r="AB250" i="1"/>
  <c r="AC250" i="1"/>
  <c r="AD250" i="1"/>
  <c r="AE250" i="1"/>
  <c r="AF250" i="1"/>
  <c r="AG250" i="1"/>
  <c r="Z251" i="1"/>
  <c r="AA251" i="1"/>
  <c r="AB251" i="1"/>
  <c r="AC251" i="1"/>
  <c r="AD251" i="1"/>
  <c r="AE251" i="1"/>
  <c r="AF251" i="1"/>
  <c r="AG251" i="1"/>
  <c r="Z252" i="1"/>
  <c r="AA252" i="1"/>
  <c r="AB252" i="1"/>
  <c r="AC252" i="1"/>
  <c r="AD252" i="1"/>
  <c r="AE252" i="1"/>
  <c r="AF252" i="1"/>
  <c r="AG252" i="1"/>
  <c r="Z253" i="1"/>
  <c r="AA253" i="1"/>
  <c r="AB253" i="1"/>
  <c r="AC253" i="1"/>
  <c r="AD253" i="1"/>
  <c r="AE253" i="1"/>
  <c r="AF253" i="1"/>
  <c r="AG253" i="1"/>
  <c r="Z254" i="1"/>
  <c r="AA254" i="1"/>
  <c r="AB254" i="1"/>
  <c r="AC254" i="1"/>
  <c r="AD254" i="1"/>
  <c r="AE254" i="1"/>
  <c r="AF254" i="1"/>
  <c r="AG254" i="1"/>
  <c r="Z255" i="1"/>
  <c r="AA255" i="1"/>
  <c r="AB255" i="1"/>
  <c r="AC255" i="1"/>
  <c r="AD255" i="1"/>
  <c r="AE255" i="1"/>
  <c r="AF255" i="1"/>
  <c r="AG255" i="1"/>
  <c r="AG3" i="1"/>
  <c r="AF3" i="1"/>
  <c r="AE3" i="1"/>
  <c r="AD3" i="1"/>
  <c r="AC3" i="1"/>
  <c r="AB3" i="1"/>
  <c r="AA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3" i="1"/>
  <c r="AC8" i="7"/>
  <c r="AE8" i="7"/>
  <c r="AC9" i="7"/>
  <c r="AC7" i="7"/>
  <c r="AC11" i="7"/>
  <c r="AC12" i="7"/>
  <c r="AC10" i="7"/>
  <c r="AC6" i="7"/>
  <c r="AD8" i="7"/>
  <c r="AD9" i="7"/>
  <c r="AD11" i="7"/>
  <c r="AE11" i="7"/>
  <c r="AD12" i="7"/>
  <c r="AD10" i="7"/>
  <c r="AF8" i="7"/>
  <c r="AF9" i="7"/>
  <c r="AF7" i="7"/>
  <c r="AF11" i="7"/>
  <c r="AH11" i="7"/>
  <c r="AH10" i="7"/>
  <c r="AF12" i="7"/>
  <c r="AF10" i="7"/>
  <c r="AG8" i="7"/>
  <c r="AG9" i="7"/>
  <c r="AG7" i="7"/>
  <c r="AG11" i="7"/>
  <c r="AG12" i="7"/>
  <c r="AG10" i="7"/>
  <c r="AG6" i="7"/>
  <c r="AC15" i="7"/>
  <c r="AC16" i="7"/>
  <c r="AC18" i="7"/>
  <c r="AE18" i="7"/>
  <c r="AC19" i="7"/>
  <c r="AC17" i="7"/>
  <c r="AD15" i="7"/>
  <c r="AE15" i="7"/>
  <c r="AD16" i="7"/>
  <c r="AD14" i="7"/>
  <c r="AD18" i="7"/>
  <c r="AD19" i="7"/>
  <c r="AF15" i="7"/>
  <c r="AF16" i="7"/>
  <c r="AF14" i="7"/>
  <c r="AF18" i="7"/>
  <c r="AF19" i="7"/>
  <c r="AF17" i="7"/>
  <c r="AF13" i="7"/>
  <c r="AG15" i="7"/>
  <c r="AG16" i="7"/>
  <c r="AG14" i="7"/>
  <c r="AG13" i="7"/>
  <c r="AG18" i="7"/>
  <c r="AG19" i="7"/>
  <c r="AG17" i="7"/>
  <c r="AH13" i="7"/>
  <c r="AC22" i="7"/>
  <c r="AE22" i="7"/>
  <c r="AC23" i="7"/>
  <c r="AC21" i="7"/>
  <c r="AC25" i="7"/>
  <c r="AC26" i="7"/>
  <c r="AD22" i="7"/>
  <c r="AD23" i="7"/>
  <c r="AD25" i="7"/>
  <c r="AE25" i="7"/>
  <c r="AD26" i="7"/>
  <c r="AD24" i="7"/>
  <c r="AF22" i="7"/>
  <c r="AF23" i="7"/>
  <c r="AF21" i="7"/>
  <c r="AF20" i="7"/>
  <c r="AF25" i="7"/>
  <c r="AF26" i="7"/>
  <c r="AF24" i="7"/>
  <c r="AG22" i="7"/>
  <c r="AH22" i="7"/>
  <c r="AG23" i="7"/>
  <c r="AG21" i="7"/>
  <c r="AG20" i="7"/>
  <c r="AG25" i="7"/>
  <c r="AG26" i="7"/>
  <c r="AG24" i="7"/>
  <c r="AC29" i="7"/>
  <c r="AC30" i="7"/>
  <c r="AC32" i="7"/>
  <c r="AE32" i="7"/>
  <c r="AC33" i="7"/>
  <c r="AC31" i="7"/>
  <c r="AD29" i="7"/>
  <c r="AE29" i="7"/>
  <c r="AD30" i="7"/>
  <c r="AD28" i="7"/>
  <c r="AD32" i="7"/>
  <c r="AD33" i="7"/>
  <c r="AF29" i="7"/>
  <c r="AH29" i="7"/>
  <c r="AH28" i="7"/>
  <c r="AF30" i="7"/>
  <c r="AF28" i="7"/>
  <c r="AF27" i="7"/>
  <c r="AF32" i="7"/>
  <c r="AF33" i="7"/>
  <c r="AF31" i="7"/>
  <c r="AG29" i="7"/>
  <c r="AG30" i="7"/>
  <c r="AG28" i="7"/>
  <c r="AG32" i="7"/>
  <c r="AH32" i="7"/>
  <c r="AG33" i="7"/>
  <c r="AG31" i="7"/>
  <c r="AC36" i="7"/>
  <c r="AE36" i="7"/>
  <c r="AC37" i="7"/>
  <c r="AC35" i="7"/>
  <c r="AC39" i="7"/>
  <c r="AC40" i="7"/>
  <c r="AD36" i="7"/>
  <c r="AD37" i="7"/>
  <c r="AD39" i="7"/>
  <c r="AE39" i="7"/>
  <c r="AD40" i="7"/>
  <c r="AD38" i="7"/>
  <c r="AF36" i="7"/>
  <c r="AF37" i="7"/>
  <c r="AF35" i="7"/>
  <c r="AF39" i="7"/>
  <c r="AH39" i="7"/>
  <c r="AH38" i="7"/>
  <c r="AF40" i="7"/>
  <c r="AF38" i="7"/>
  <c r="AG36" i="7"/>
  <c r="AG37" i="7"/>
  <c r="AG35" i="7"/>
  <c r="AG39" i="7"/>
  <c r="AG40" i="7"/>
  <c r="AG38" i="7"/>
  <c r="AG34" i="7"/>
  <c r="AC43" i="7"/>
  <c r="AC44" i="7"/>
  <c r="AC46" i="7"/>
  <c r="AE46" i="7"/>
  <c r="AC47" i="7"/>
  <c r="AC45" i="7"/>
  <c r="AD43" i="7"/>
  <c r="AE43" i="7"/>
  <c r="AD44" i="7"/>
  <c r="AD42" i="7"/>
  <c r="AD46" i="7"/>
  <c r="AD47" i="7"/>
  <c r="AF43" i="7"/>
  <c r="AF44" i="7"/>
  <c r="AF42" i="7"/>
  <c r="AF46" i="7"/>
  <c r="AF47" i="7"/>
  <c r="AF45" i="7"/>
  <c r="AF41" i="7"/>
  <c r="AG43" i="7"/>
  <c r="AG44" i="7"/>
  <c r="AG42" i="7"/>
  <c r="AG41" i="7"/>
  <c r="AG46" i="7"/>
  <c r="AG47" i="7"/>
  <c r="AG45" i="7"/>
  <c r="AH41" i="7"/>
  <c r="T7" i="7"/>
  <c r="T10" i="7"/>
  <c r="T6" i="7"/>
  <c r="V6" i="7"/>
  <c r="U7" i="7"/>
  <c r="U10" i="7"/>
  <c r="U6" i="7"/>
  <c r="W7" i="7"/>
  <c r="W10" i="7"/>
  <c r="W6" i="7"/>
  <c r="X7" i="7"/>
  <c r="X10" i="7"/>
  <c r="X6" i="7"/>
  <c r="T14" i="7"/>
  <c r="T17" i="7"/>
  <c r="T13" i="7"/>
  <c r="V13" i="7"/>
  <c r="U14" i="7"/>
  <c r="U17" i="7"/>
  <c r="U13" i="7"/>
  <c r="W14" i="7"/>
  <c r="W17" i="7"/>
  <c r="W13" i="7"/>
  <c r="X14" i="7"/>
  <c r="X17" i="7"/>
  <c r="X13" i="7"/>
  <c r="T21" i="7"/>
  <c r="T24" i="7"/>
  <c r="T20" i="7"/>
  <c r="U21" i="7"/>
  <c r="U24" i="7"/>
  <c r="U20" i="7"/>
  <c r="W21" i="7"/>
  <c r="W24" i="7"/>
  <c r="W20" i="7"/>
  <c r="X21" i="7"/>
  <c r="X24" i="7"/>
  <c r="X20" i="7"/>
  <c r="Y20" i="7"/>
  <c r="T28" i="7"/>
  <c r="T31" i="7"/>
  <c r="T27" i="7"/>
  <c r="U28" i="7"/>
  <c r="U31" i="7"/>
  <c r="U27" i="7"/>
  <c r="V27" i="7"/>
  <c r="W28" i="7"/>
  <c r="W31" i="7"/>
  <c r="W27" i="7"/>
  <c r="Y27" i="7"/>
  <c r="X28" i="7"/>
  <c r="X31" i="7"/>
  <c r="X27" i="7"/>
  <c r="Z27" i="7"/>
  <c r="T35" i="7"/>
  <c r="T38" i="7"/>
  <c r="T34" i="7"/>
  <c r="V34" i="7"/>
  <c r="W35" i="7"/>
  <c r="W38" i="7"/>
  <c r="W34" i="7"/>
  <c r="X35" i="7"/>
  <c r="X38" i="7"/>
  <c r="X34" i="7"/>
  <c r="T42" i="7"/>
  <c r="T45" i="7"/>
  <c r="T41" i="7"/>
  <c r="U42" i="7"/>
  <c r="U45" i="7"/>
  <c r="U41" i="7"/>
  <c r="W42" i="7"/>
  <c r="W45" i="7"/>
  <c r="W41" i="7"/>
  <c r="X42" i="7"/>
  <c r="X45" i="7"/>
  <c r="X41" i="7"/>
  <c r="Y41" i="7"/>
  <c r="X48" i="7"/>
  <c r="T48" i="7"/>
  <c r="Q13" i="7"/>
  <c r="P20" i="7"/>
  <c r="Q27" i="7"/>
  <c r="Q34" i="7"/>
  <c r="AH47" i="7"/>
  <c r="V47" i="7"/>
  <c r="Y47" i="7"/>
  <c r="Z47" i="7"/>
  <c r="P47" i="7"/>
  <c r="Q47" i="7"/>
  <c r="AH46" i="7"/>
  <c r="V46" i="7"/>
  <c r="Y46" i="7"/>
  <c r="Z46" i="7"/>
  <c r="P46" i="7"/>
  <c r="Q46" i="7"/>
  <c r="AH45" i="7"/>
  <c r="V45" i="7"/>
  <c r="Y45" i="7"/>
  <c r="Z45" i="7"/>
  <c r="P45" i="7"/>
  <c r="Q45" i="7"/>
  <c r="V44" i="7"/>
  <c r="Y44" i="7"/>
  <c r="Z44" i="7"/>
  <c r="P44" i="7"/>
  <c r="Q44" i="7"/>
  <c r="AH43" i="7"/>
  <c r="V43" i="7"/>
  <c r="Y43" i="7"/>
  <c r="Z43" i="7"/>
  <c r="P43" i="7"/>
  <c r="Q43" i="7"/>
  <c r="V42" i="7"/>
  <c r="Y42" i="7"/>
  <c r="Z42" i="7"/>
  <c r="P42" i="7"/>
  <c r="Q42" i="7"/>
  <c r="AH40" i="7"/>
  <c r="V40" i="7"/>
  <c r="Y40" i="7"/>
  <c r="Z40" i="7"/>
  <c r="P40" i="7"/>
  <c r="Q40" i="7"/>
  <c r="V39" i="7"/>
  <c r="Y39" i="7"/>
  <c r="Z39" i="7"/>
  <c r="P39" i="7"/>
  <c r="Q39" i="7"/>
  <c r="V38" i="7"/>
  <c r="Y38" i="7"/>
  <c r="Z38" i="7"/>
  <c r="P38" i="7"/>
  <c r="Q38" i="7"/>
  <c r="AH37" i="7"/>
  <c r="V37" i="7"/>
  <c r="Y37" i="7"/>
  <c r="Z37" i="7"/>
  <c r="P37" i="7"/>
  <c r="Q37" i="7"/>
  <c r="AH36" i="7"/>
  <c r="V36" i="7"/>
  <c r="Y36" i="7"/>
  <c r="Z36" i="7"/>
  <c r="P36" i="7"/>
  <c r="Q36" i="7"/>
  <c r="AH35" i="7"/>
  <c r="V35" i="7"/>
  <c r="Y35" i="7"/>
  <c r="Z35" i="7"/>
  <c r="P35" i="7"/>
  <c r="Q35" i="7"/>
  <c r="V33" i="7"/>
  <c r="Y33" i="7"/>
  <c r="Z33" i="7"/>
  <c r="P33" i="7"/>
  <c r="Q33" i="7"/>
  <c r="V32" i="7"/>
  <c r="Y32" i="7"/>
  <c r="Z32" i="7"/>
  <c r="P32" i="7"/>
  <c r="Q32" i="7"/>
  <c r="V31" i="7"/>
  <c r="Y31" i="7"/>
  <c r="Z31" i="7"/>
  <c r="P31" i="7"/>
  <c r="Q31" i="7"/>
  <c r="AH30" i="7"/>
  <c r="V30" i="7"/>
  <c r="Y30" i="7"/>
  <c r="Z30" i="7"/>
  <c r="P30" i="7"/>
  <c r="Q30" i="7"/>
  <c r="V29" i="7"/>
  <c r="Y29" i="7"/>
  <c r="Z29" i="7"/>
  <c r="P29" i="7"/>
  <c r="Q29" i="7"/>
  <c r="V28" i="7"/>
  <c r="Y28" i="7"/>
  <c r="Z28" i="7"/>
  <c r="P28" i="7"/>
  <c r="Q28" i="7"/>
  <c r="V26" i="7"/>
  <c r="Y26" i="7"/>
  <c r="Z26" i="7"/>
  <c r="P26" i="7"/>
  <c r="Q26" i="7"/>
  <c r="AH25" i="7"/>
  <c r="V25" i="7"/>
  <c r="Y25" i="7"/>
  <c r="Z25" i="7"/>
  <c r="P25" i="7"/>
  <c r="Q25" i="7"/>
  <c r="V24" i="7"/>
  <c r="Y24" i="7"/>
  <c r="Z24" i="7"/>
  <c r="P24" i="7"/>
  <c r="Q24" i="7"/>
  <c r="V23" i="7"/>
  <c r="Y23" i="7"/>
  <c r="Z23" i="7"/>
  <c r="P23" i="7"/>
  <c r="Q23" i="7"/>
  <c r="V22" i="7"/>
  <c r="Y22" i="7"/>
  <c r="Z22" i="7"/>
  <c r="P22" i="7"/>
  <c r="Q22" i="7"/>
  <c r="V21" i="7"/>
  <c r="Y21" i="7"/>
  <c r="Z21" i="7"/>
  <c r="P21" i="7"/>
  <c r="Q21" i="7"/>
  <c r="AH19" i="7"/>
  <c r="V19" i="7"/>
  <c r="Y19" i="7"/>
  <c r="Z19" i="7"/>
  <c r="P19" i="7"/>
  <c r="Q19" i="7"/>
  <c r="AH18" i="7"/>
  <c r="V18" i="7"/>
  <c r="Y18" i="7"/>
  <c r="Z18" i="7"/>
  <c r="P18" i="7"/>
  <c r="Q18" i="7"/>
  <c r="AH17" i="7"/>
  <c r="V17" i="7"/>
  <c r="Y17" i="7"/>
  <c r="Z17" i="7"/>
  <c r="P17" i="7"/>
  <c r="Q17" i="7"/>
  <c r="V16" i="7"/>
  <c r="Y16" i="7"/>
  <c r="Z16" i="7"/>
  <c r="P16" i="7"/>
  <c r="Q16" i="7"/>
  <c r="AH15" i="7"/>
  <c r="V15" i="7"/>
  <c r="Y15" i="7"/>
  <c r="Z15" i="7"/>
  <c r="P15" i="7"/>
  <c r="Q15" i="7"/>
  <c r="V14" i="7"/>
  <c r="Y14" i="7"/>
  <c r="Z14" i="7"/>
  <c r="P14" i="7"/>
  <c r="Q14" i="7"/>
  <c r="AH12" i="7"/>
  <c r="V12" i="7"/>
  <c r="Y12" i="7"/>
  <c r="Z12" i="7"/>
  <c r="P12" i="7"/>
  <c r="Q12" i="7"/>
  <c r="V11" i="7"/>
  <c r="Y11" i="7"/>
  <c r="Z11" i="7"/>
  <c r="P11" i="7"/>
  <c r="Q11" i="7"/>
  <c r="V10" i="7"/>
  <c r="Y10" i="7"/>
  <c r="Z10" i="7"/>
  <c r="P10" i="7"/>
  <c r="Q10" i="7"/>
  <c r="AH9" i="7"/>
  <c r="V9" i="7"/>
  <c r="Y9" i="7"/>
  <c r="Z9" i="7"/>
  <c r="P9" i="7"/>
  <c r="Q9" i="7"/>
  <c r="AH8" i="7"/>
  <c r="V8" i="7"/>
  <c r="Y8" i="7"/>
  <c r="Z8" i="7"/>
  <c r="P8" i="7"/>
  <c r="Q8" i="7"/>
  <c r="AH7" i="7"/>
  <c r="V7" i="7"/>
  <c r="Y7" i="7"/>
  <c r="Z7" i="7"/>
  <c r="P7" i="7"/>
  <c r="Q7" i="7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7" i="11"/>
  <c r="H7" i="11"/>
  <c r="I4" i="11"/>
  <c r="H4" i="11"/>
  <c r="S32" i="11"/>
  <c r="S30" i="11"/>
  <c r="S20" i="11"/>
  <c r="S17" i="11"/>
  <c r="S7" i="11"/>
  <c r="I6" i="11"/>
  <c r="H6" i="11"/>
  <c r="I3" i="11"/>
  <c r="H3" i="11"/>
  <c r="S33" i="11"/>
  <c r="S29" i="11"/>
  <c r="S19" i="11"/>
  <c r="S16" i="11"/>
  <c r="S6" i="11"/>
  <c r="N17" i="4"/>
  <c r="M18" i="4"/>
  <c r="L17" i="4"/>
  <c r="J6" i="4"/>
  <c r="N18" i="4"/>
  <c r="J7" i="4"/>
  <c r="M17" i="4"/>
  <c r="L18" i="4"/>
  <c r="M19" i="4"/>
  <c r="L19" i="4"/>
  <c r="N19" i="4"/>
  <c r="T30" i="11"/>
  <c r="H5" i="11"/>
  <c r="I5" i="11"/>
  <c r="H8" i="11"/>
  <c r="I8" i="11"/>
  <c r="T33" i="11"/>
  <c r="Z34" i="7"/>
  <c r="AH31" i="7"/>
  <c r="AG48" i="7"/>
  <c r="W48" i="7"/>
  <c r="AI46" i="7"/>
  <c r="AI39" i="7"/>
  <c r="AC38" i="7"/>
  <c r="AC34" i="7"/>
  <c r="AE34" i="7"/>
  <c r="AI34" i="7"/>
  <c r="AE40" i="7"/>
  <c r="AI40" i="7"/>
  <c r="AI36" i="7"/>
  <c r="AD31" i="7"/>
  <c r="AD27" i="7"/>
  <c r="AE33" i="7"/>
  <c r="AI29" i="7"/>
  <c r="AC28" i="7"/>
  <c r="AC27" i="7"/>
  <c r="AE30" i="7"/>
  <c r="AI30" i="7"/>
  <c r="AH20" i="7"/>
  <c r="AD21" i="7"/>
  <c r="AD20" i="7"/>
  <c r="AE23" i="7"/>
  <c r="AI23" i="7"/>
  <c r="AI18" i="7"/>
  <c r="AE17" i="7"/>
  <c r="AI17" i="7"/>
  <c r="AI11" i="7"/>
  <c r="AE10" i="7"/>
  <c r="AI10" i="7"/>
  <c r="AJ9" i="12"/>
  <c r="AJ37" i="12"/>
  <c r="AH16" i="7"/>
  <c r="AH14" i="7"/>
  <c r="AH23" i="7"/>
  <c r="AH21" i="7"/>
  <c r="AH26" i="7"/>
  <c r="AH24" i="7"/>
  <c r="AH33" i="7"/>
  <c r="AH44" i="7"/>
  <c r="AH42" i="7"/>
  <c r="V41" i="7"/>
  <c r="Z41" i="7"/>
  <c r="Y34" i="7"/>
  <c r="V20" i="7"/>
  <c r="Z20" i="7"/>
  <c r="Y13" i="7"/>
  <c r="Z13" i="7"/>
  <c r="Y6" i="7"/>
  <c r="Y48" i="7"/>
  <c r="U48" i="7"/>
  <c r="AD45" i="7"/>
  <c r="AD41" i="7"/>
  <c r="AE47" i="7"/>
  <c r="AI47" i="7"/>
  <c r="AI43" i="7"/>
  <c r="AC42" i="7"/>
  <c r="AC41" i="7"/>
  <c r="AE41" i="7"/>
  <c r="AI41" i="7"/>
  <c r="AE44" i="7"/>
  <c r="AF34" i="7"/>
  <c r="AH34" i="7"/>
  <c r="AD35" i="7"/>
  <c r="AD34" i="7"/>
  <c r="AE37" i="7"/>
  <c r="AI37" i="7"/>
  <c r="AG27" i="7"/>
  <c r="AH27" i="7"/>
  <c r="AI32" i="7"/>
  <c r="AE31" i="7"/>
  <c r="AI25" i="7"/>
  <c r="AC24" i="7"/>
  <c r="AC20" i="7"/>
  <c r="AE20" i="7"/>
  <c r="AI20" i="7"/>
  <c r="AE26" i="7"/>
  <c r="AI22" i="7"/>
  <c r="AD17" i="7"/>
  <c r="AD13" i="7"/>
  <c r="AE19" i="7"/>
  <c r="AI19" i="7"/>
  <c r="AI15" i="7"/>
  <c r="AC14" i="7"/>
  <c r="AC13" i="7"/>
  <c r="AE16" i="7"/>
  <c r="AF6" i="7"/>
  <c r="AD7" i="7"/>
  <c r="AD6" i="7"/>
  <c r="AE9" i="7"/>
  <c r="AI9" i="7"/>
  <c r="AI8" i="7"/>
  <c r="AE7" i="7"/>
  <c r="AI7" i="7"/>
  <c r="AJ23" i="12"/>
  <c r="AJ36" i="12"/>
  <c r="O48" i="7"/>
  <c r="M6" i="7"/>
  <c r="K48" i="7"/>
  <c r="AJ10" i="12"/>
  <c r="AI9" i="12"/>
  <c r="AJ24" i="12"/>
  <c r="AI23" i="12"/>
  <c r="AJ38" i="12"/>
  <c r="AI37" i="12"/>
  <c r="AJ29" i="12"/>
  <c r="AE50" i="12"/>
  <c r="Q22" i="12"/>
  <c r="AE12" i="7"/>
  <c r="AI12" i="7"/>
  <c r="P6" i="7"/>
  <c r="P48" i="7"/>
  <c r="M20" i="7"/>
  <c r="Q20" i="7"/>
  <c r="AJ17" i="12"/>
  <c r="AI16" i="12"/>
  <c r="AJ16" i="12"/>
  <c r="AJ19" i="12"/>
  <c r="AJ31" i="12"/>
  <c r="AI30" i="12"/>
  <c r="AJ30" i="12"/>
  <c r="AJ33" i="12"/>
  <c r="AJ45" i="12"/>
  <c r="AI44" i="12"/>
  <c r="AJ44" i="12"/>
  <c r="AJ47" i="12"/>
  <c r="AF43" i="12"/>
  <c r="AJ43" i="12"/>
  <c r="AI36" i="12"/>
  <c r="AF15" i="12"/>
  <c r="AJ15" i="12"/>
  <c r="AI8" i="12"/>
  <c r="AI50" i="12"/>
  <c r="AG50" i="12"/>
  <c r="P23" i="12"/>
  <c r="P30" i="12"/>
  <c r="P47" i="12"/>
  <c r="M22" i="12"/>
  <c r="M8" i="12"/>
  <c r="K50" i="12"/>
  <c r="N50" i="12"/>
  <c r="P29" i="12"/>
  <c r="P50" i="12"/>
  <c r="O50" i="12"/>
  <c r="Q38" i="12"/>
  <c r="Q37" i="12"/>
  <c r="Q36" i="12"/>
  <c r="P37" i="12"/>
  <c r="Q33" i="12"/>
  <c r="Q29" i="12"/>
  <c r="Q9" i="12"/>
  <c r="Q8" i="12"/>
  <c r="I21" i="15"/>
  <c r="I27" i="15"/>
  <c r="H12" i="14"/>
  <c r="M48" i="7"/>
  <c r="Q6" i="7"/>
  <c r="Q48" i="7"/>
  <c r="AH6" i="7"/>
  <c r="AH48" i="7"/>
  <c r="AF48" i="7"/>
  <c r="AE13" i="7"/>
  <c r="AI13" i="7"/>
  <c r="AC48" i="7"/>
  <c r="AF50" i="12"/>
  <c r="AE27" i="7"/>
  <c r="AI27" i="7"/>
  <c r="H22" i="14"/>
  <c r="H23" i="14"/>
  <c r="E13" i="14"/>
  <c r="Q50" i="12"/>
  <c r="M50" i="12"/>
  <c r="AD48" i="7"/>
  <c r="AE6" i="7"/>
  <c r="AI16" i="7"/>
  <c r="AE14" i="7"/>
  <c r="AI14" i="7"/>
  <c r="AE21" i="7"/>
  <c r="AI21" i="7"/>
  <c r="AI26" i="7"/>
  <c r="AE24" i="7"/>
  <c r="AI24" i="7"/>
  <c r="AI31" i="7"/>
  <c r="AI44" i="7"/>
  <c r="AE42" i="7"/>
  <c r="AI42" i="7"/>
  <c r="V48" i="7"/>
  <c r="AJ8" i="12"/>
  <c r="AJ50" i="12"/>
  <c r="AE28" i="7"/>
  <c r="AI28" i="7"/>
  <c r="AI33" i="7"/>
  <c r="AE35" i="7"/>
  <c r="AI35" i="7"/>
  <c r="AE38" i="7"/>
  <c r="AI38" i="7"/>
  <c r="AE45" i="7"/>
  <c r="AI45" i="7"/>
  <c r="Z6" i="7"/>
  <c r="Z48" i="7"/>
  <c r="AI6" i="7"/>
  <c r="AI48" i="7"/>
  <c r="AE4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Joanna Rachubik</author>
    <author>Microsoft Office User</author>
  </authors>
  <commentList>
    <comment ref="B2" authorId="0" shapeId="0" xr:uid="{1DBEEDB1-7DB7-0D46-ADEE-A97E7F62F315}">
      <text>
        <r>
          <rPr>
            <b/>
            <sz val="10"/>
            <color rgb="FF000000"/>
            <rFont val="Tahoma"/>
            <family val="2"/>
            <charset val="238"/>
          </rPr>
          <t>Joanna Rachubik: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>type of nonRandom (=Distinctive) ticket</t>
        </r>
      </text>
    </comment>
    <comment ref="C2" authorId="0" shapeId="0" xr:uid="{1EC1A2CE-A4E0-4047-976E-61CC6C0861E4}">
      <text>
        <r>
          <rPr>
            <b/>
            <sz val="10"/>
            <color rgb="FF000000"/>
            <rFont val="Tahoma"/>
            <family val="2"/>
            <charset val="238"/>
          </rPr>
          <t>Joanna Rachubik: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>nonRandom displayed to the participant on the Left (L) or Right (P)</t>
        </r>
      </text>
    </comment>
    <comment ref="D2" authorId="0" shapeId="0" xr:uid="{1AAFF6A0-C3A0-0242-A5AB-352769DBA9EC}">
      <text>
        <r>
          <rPr>
            <b/>
            <sz val="10"/>
            <color rgb="FF000000"/>
            <rFont val="Tahoma"/>
            <family val="2"/>
            <charset val="238"/>
          </rPr>
          <t>Joanna Rachubik: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>bonus offered- 1 (1 PLN) or 50 (0.5 PLN)</t>
        </r>
      </text>
    </comment>
    <comment ref="E2" authorId="0" shapeId="0" xr:uid="{4D7918EB-B569-2346-99BB-AE349270B6E7}">
      <text>
        <r>
          <rPr>
            <b/>
            <sz val="10"/>
            <color rgb="FF000000"/>
            <rFont val="Tahoma"/>
            <family val="2"/>
            <charset val="238"/>
          </rPr>
          <t>Joanna Rachubik: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>M-male, K-female</t>
        </r>
      </text>
    </comment>
    <comment ref="G2" authorId="0" shapeId="0" xr:uid="{D5436A04-2F60-EB4A-902C-E83229AA4049}">
      <text>
        <r>
          <rPr>
            <b/>
            <sz val="10"/>
            <color rgb="FF000000"/>
            <rFont val="Tahoma"/>
            <family val="2"/>
            <charset val="238"/>
          </rPr>
          <t>Joanna Rachubik: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>R- Random ticket</t>
        </r>
      </text>
    </comment>
    <comment ref="H2" authorId="0" shapeId="0" xr:uid="{BE17BFC9-1372-6C4E-B6F1-5637C927E3DB}">
      <text>
        <r>
          <rPr>
            <b/>
            <sz val="10"/>
            <color rgb="FF000000"/>
            <rFont val="Tahoma"/>
            <family val="2"/>
            <charset val="238"/>
          </rPr>
          <t>Joanna Rachubik: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>decided to switch for  abonus; No (NIE) or Yes (TAK)</t>
        </r>
      </text>
    </comment>
    <comment ref="I2" authorId="0" shapeId="0" xr:uid="{65CCB35B-0E2B-9C4B-8CE4-F5BAB19EEADA}">
      <text>
        <r>
          <rPr>
            <b/>
            <sz val="10"/>
            <color rgb="FF000000"/>
            <rFont val="Tahoma"/>
            <family val="2"/>
            <charset val="238"/>
          </rPr>
          <t>Joanna Rachubik: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>ended up with: R or which nR</t>
        </r>
      </text>
    </comment>
    <comment ref="J2" authorId="0" shapeId="0" xr:uid="{6A878412-72EE-3148-8F89-9CCCAF905BF3}">
      <text>
        <r>
          <rPr>
            <b/>
            <sz val="10"/>
            <color rgb="FF000000"/>
            <rFont val="Tahoma"/>
            <family val="2"/>
            <charset val="238"/>
          </rPr>
          <t>Joanna Rachubik: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>question asked- what comes out the 4th time after three T (tails)/ H (heads)</t>
        </r>
      </text>
    </comment>
    <comment ref="K2" authorId="0" shapeId="0" xr:uid="{25B41B4A-1210-DC44-A3C0-F00F7AC59A01}">
      <text>
        <r>
          <rPr>
            <b/>
            <sz val="10"/>
            <color rgb="FF000000"/>
            <rFont val="Tahoma"/>
            <family val="2"/>
            <charset val="238"/>
          </rPr>
          <t>Joanna Rachubik: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 xml:space="preserve">their answer: 
</t>
        </r>
        <r>
          <rPr>
            <sz val="10"/>
            <color rgb="FF000000"/>
            <rFont val="Tahoma"/>
            <family val="2"/>
            <charset val="238"/>
          </rPr>
          <t xml:space="preserve">B- 50/50
</t>
        </r>
        <r>
          <rPr>
            <sz val="10"/>
            <color rgb="FF000000"/>
            <rFont val="Tahoma"/>
            <family val="2"/>
            <charset val="238"/>
          </rPr>
          <t xml:space="preserve">T- tail
</t>
        </r>
        <r>
          <rPr>
            <sz val="10"/>
            <color rgb="FF000000"/>
            <rFont val="Tahoma"/>
            <family val="2"/>
            <charset val="238"/>
          </rPr>
          <t xml:space="preserve">H- head
</t>
        </r>
        <r>
          <rPr>
            <sz val="10"/>
            <color rgb="FF000000"/>
            <rFont val="Tahoma"/>
            <family val="2"/>
            <charset val="238"/>
          </rPr>
          <t>0- no answer/ weird answer</t>
        </r>
      </text>
    </comment>
    <comment ref="K6" authorId="1" shapeId="0" xr:uid="{00000000-0006-0000-0000-000001000000}">
      <text>
        <r>
          <rPr>
            <b/>
            <sz val="10"/>
            <color rgb="FF000000"/>
            <rFont val="Calibri"/>
            <family val="2"/>
          </rPr>
          <t>Microsoft Office User: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"da się ustawić tak monetę żeby spadło jak się zechce"</t>
        </r>
      </text>
    </comment>
    <comment ref="K33" authorId="1" shapeId="0" xr:uid="{00000000-0006-0000-0000-000002000000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"nie wypadnie reszka 3x z rzędu to niemożliwe"</t>
        </r>
      </text>
    </comment>
    <comment ref="F44" authorId="1" shapeId="0" xr:uid="{00000000-0006-0000-0000-000003000000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zapytałam babcię ale powiedziała żeby wnuczek wybierał i odpowiadał</t>
        </r>
      </text>
    </comment>
    <comment ref="K44" authorId="1" shapeId="0" xr:uid="{00000000-0006-0000-0000-000004000000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wnuczek nie wiedział</t>
        </r>
      </text>
    </comment>
    <comment ref="K84" authorId="1" shapeId="0" xr:uid="{00000000-0006-0000-0000-000005000000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NIE WIE</t>
        </r>
      </text>
    </comment>
    <comment ref="K154" authorId="1" shapeId="0" xr:uid="{00000000-0006-0000-0000-000006000000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"nie wypadnie 3x orzeł na pewno"</t>
        </r>
      </text>
    </comment>
    <comment ref="K159" authorId="1" shapeId="0" xr:uid="{00000000-0006-0000-0000-000007000000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"nie wypadnie 3x reszka"</t>
        </r>
      </text>
    </comment>
    <comment ref="K160" authorId="1" shapeId="0" xr:uid="{00000000-0006-0000-0000-000008000000}">
      <text>
        <r>
          <rPr>
            <b/>
            <sz val="10"/>
            <color indexed="81"/>
            <rFont val="Calibri"/>
            <family val="2"/>
          </rPr>
          <t>Microsoft Office User:
nie wie co odpowiedzieć</t>
        </r>
      </text>
    </comment>
    <comment ref="K169" authorId="1" shapeId="0" xr:uid="{00000000-0006-0000-0000-000009000000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NIE WIE</t>
        </r>
      </text>
    </comment>
  </commentList>
</comments>
</file>

<file path=xl/sharedStrings.xml><?xml version="1.0" encoding="utf-8"?>
<sst xmlns="http://schemas.openxmlformats.org/spreadsheetml/2006/main" count="8168" uniqueCount="625">
  <si>
    <t>dostanie 50gr/1zł ?</t>
  </si>
  <si>
    <t>wybrał R/nR?</t>
  </si>
  <si>
    <t>wziął 50gr/1zł?</t>
  </si>
  <si>
    <t>14/21</t>
  </si>
  <si>
    <t>ankieter</t>
  </si>
  <si>
    <t>which U?</t>
  </si>
  <si>
    <t>BL</t>
  </si>
  <si>
    <t>WJ</t>
  </si>
  <si>
    <t>U</t>
  </si>
  <si>
    <t>O</t>
  </si>
  <si>
    <t>TP</t>
  </si>
  <si>
    <t>WP</t>
  </si>
  <si>
    <t>BR</t>
  </si>
  <si>
    <t>LS</t>
  </si>
  <si>
    <t>explanation_full</t>
  </si>
  <si>
    <t>id</t>
  </si>
  <si>
    <t>type_nR</t>
  </si>
  <si>
    <t>nR_side</t>
  </si>
  <si>
    <t>price_difference</t>
  </si>
  <si>
    <t>płeć</t>
  </si>
  <si>
    <t>age</t>
  </si>
  <si>
    <t>choice</t>
  </si>
  <si>
    <t>switch</t>
  </si>
  <si>
    <t>choice_post_switch</t>
  </si>
  <si>
    <t>three_tosses</t>
  </si>
  <si>
    <t>forecast</t>
  </si>
  <si>
    <t>date</t>
  </si>
  <si>
    <t>drawing_hour</t>
  </si>
  <si>
    <t>location</t>
  </si>
  <si>
    <t>experimenter</t>
  </si>
  <si>
    <t>gambling_habits</t>
  </si>
  <si>
    <t>gambling_habits_code</t>
  </si>
  <si>
    <t>gambling_habits_full</t>
  </si>
  <si>
    <t>explanation1</t>
  </si>
  <si>
    <t>explanation2</t>
  </si>
  <si>
    <t>code1</t>
  </si>
  <si>
    <t>e_more_rand</t>
  </si>
  <si>
    <t>e_indiff</t>
  </si>
  <si>
    <t>e_fav</t>
  </si>
  <si>
    <t>e_int</t>
  </si>
  <si>
    <t>e_know_same_prob</t>
  </si>
  <si>
    <t>e_high_prob</t>
  </si>
  <si>
    <t>e_more_spread</t>
  </si>
  <si>
    <t>e_nice_sequence</t>
  </si>
  <si>
    <t>L1</t>
  </si>
  <si>
    <t>P</t>
  </si>
  <si>
    <t>M</t>
  </si>
  <si>
    <t>R</t>
  </si>
  <si>
    <t>NIE</t>
  </si>
  <si>
    <t>T</t>
  </si>
  <si>
    <t>B</t>
  </si>
  <si>
    <t>07.08.17</t>
  </si>
  <si>
    <t>m.Świetokrzyska</t>
  </si>
  <si>
    <t>A</t>
  </si>
  <si>
    <t>rarely</t>
  </si>
  <si>
    <t>rzadko</t>
  </si>
  <si>
    <t>bo bardziej losowe, chociaż prawd. raczej to samo, ale zostanie przy R</t>
  </si>
  <si>
    <t>H1</t>
  </si>
  <si>
    <t>K</t>
  </si>
  <si>
    <t>bo losowe a nie po kolei</t>
  </si>
  <si>
    <t>L5</t>
  </si>
  <si>
    <t>regularly</t>
  </si>
  <si>
    <t xml:space="preserve">często Lotto na chybił trafił i zdrapki </t>
  </si>
  <si>
    <t>bo nie po kolei</t>
  </si>
  <si>
    <t>M1</t>
  </si>
  <si>
    <t>occasionally</t>
  </si>
  <si>
    <t>czasem Lotto za 3zł</t>
  </si>
  <si>
    <t>bo bardziej losowe liczby</t>
  </si>
  <si>
    <t>H5</t>
  </si>
  <si>
    <t>jakoś tak odruchowo</t>
  </si>
  <si>
    <t>M5</t>
  </si>
  <si>
    <t>m.Centrum</t>
  </si>
  <si>
    <t>bardzo rzadko</t>
  </si>
  <si>
    <t>bo losowe a nie co 5 więc większa szansa że te losowe się trafią</t>
  </si>
  <si>
    <t>L</t>
  </si>
  <si>
    <t>never</t>
  </si>
  <si>
    <t>nie</t>
  </si>
  <si>
    <t>wybrała losowo bo jej obojętne</t>
  </si>
  <si>
    <t>H</t>
  </si>
  <si>
    <t>bo bardziej losowe liczby ale w sumie jej bez różnicy; ale 50 gr nie warte nic</t>
  </si>
  <si>
    <t>nie wie czemu, wziął losowo; ale 50gr nie warte nic dla niego</t>
  </si>
  <si>
    <t>TAK</t>
  </si>
  <si>
    <t>obstawia mecze 1x na kwartał</t>
  </si>
  <si>
    <t>najpierw R bo nie patrzył nawet na liczby ale za 50gr popatrzył i w R 5 liczb było blisko siebie więc L5 wydało mu się bardziej równomiernie rozłożone (R=10, 13, 14, 15, 19, 42, 53, 70, 75, 78)</t>
  </si>
  <si>
    <t>Rondo de Gaulle'a</t>
  </si>
  <si>
    <t>najpierw H5 bo bardziej rozłożone niż w R (gdzie było po kolei 1,2,3,4, dalej randomowo); ale za 50gr zmienił zdanie</t>
  </si>
  <si>
    <t>4x w roku</t>
  </si>
  <si>
    <t>bo co 5 nie pasowało mu</t>
  </si>
  <si>
    <t>2x w roku</t>
  </si>
  <si>
    <t xml:space="preserve">R bo bardziej randomowo ale zmieniła zdanie bo wie że w sumie to samo prawd. </t>
  </si>
  <si>
    <t>1x w roku chybił-trafił</t>
  </si>
  <si>
    <t>bo większa szansa</t>
  </si>
  <si>
    <t>rzadko, co duża kumulacja</t>
  </si>
  <si>
    <t>R bo bardziej rozproszone ale zmienił zdanie na M1</t>
  </si>
  <si>
    <t>H5 wybrał losowo bo to samo prawd. i za 1zł zmienił zdanie</t>
  </si>
  <si>
    <t>kilka x w roku</t>
  </si>
  <si>
    <t>losowo wybrał M5 bo ta sama szansa, ale 1zł nie</t>
  </si>
  <si>
    <t>R bo bardziej losowe ale zmienił zdanie na H1</t>
  </si>
  <si>
    <t>H5 bo bardziej mu sie tu podobały liczby ale nie te obstawiane tylko jakieś inne na kuponie ale nie powiedział czemu i które</t>
  </si>
  <si>
    <t>R bo bardziej losowe ale zmieniła zdanie na L1</t>
  </si>
  <si>
    <t>kilka x w życiu</t>
  </si>
  <si>
    <t>08.08.17</t>
  </si>
  <si>
    <t>Żelazna/Solidarności</t>
  </si>
  <si>
    <t>always</t>
  </si>
  <si>
    <t>gra co losowanie</t>
  </si>
  <si>
    <t>regularnie od 45 lat</t>
  </si>
  <si>
    <t>gra co kilka dni</t>
  </si>
  <si>
    <t>U2, 3, 4</t>
  </si>
  <si>
    <t xml:space="preserve">M1 bo 2 i 3 i 4 to "jej liczby" </t>
  </si>
  <si>
    <t>gra co drugi dzień</t>
  </si>
  <si>
    <t>bo lepiej rozłożone liczby</t>
  </si>
  <si>
    <t>1x w tygodniu</t>
  </si>
  <si>
    <t>U17</t>
  </si>
  <si>
    <t>R bo było tam 17 a to ulubiona liczba</t>
  </si>
  <si>
    <t>U31, 33</t>
  </si>
  <si>
    <t>R bo było tam 31 i 33 a to jego ulubione liczby</t>
  </si>
  <si>
    <t>1x w roku</t>
  </si>
  <si>
    <t>bo większy rozrzut liczb</t>
  </si>
  <si>
    <t>dw.Centralny</t>
  </si>
  <si>
    <t>bo były w R liczby które kiedyś grał</t>
  </si>
  <si>
    <t>R ale nie wie czemu</t>
  </si>
  <si>
    <t>R losowo wybrała ale 50 gr nie bo widocznie los tak chciał</t>
  </si>
  <si>
    <t>2x w miesiącu</t>
  </si>
  <si>
    <t>U13</t>
  </si>
  <si>
    <t>R bo lubi 13 a było tam ale za 50gr zmieniła zdanie</t>
  </si>
  <si>
    <t>M1 bo liczby mniej losowe i bardziej dla niego logiczne i ważna data urodzenia była</t>
  </si>
  <si>
    <t>R bo większe liczby były a lubi duże liczby</t>
  </si>
  <si>
    <t>R bo było w prawej a prawa mu się lepiej kojarzy; 50gr nie to nic nie znaczy dla niego</t>
  </si>
  <si>
    <t>LS; 1zł nie bo jak ma wygrać z tym to 1zł nic nie zmieni</t>
  </si>
  <si>
    <t>czasami</t>
  </si>
  <si>
    <t>bo była liczba z jej urodzin</t>
  </si>
  <si>
    <t>WJ i zmienił zdanie za 1zł więc L1</t>
  </si>
  <si>
    <t>?</t>
  </si>
  <si>
    <t>bo były mocniejsze kolory kuponu (nie potwierdzam)</t>
  </si>
  <si>
    <t>1x na 2 lata</t>
  </si>
  <si>
    <t>BL i WP</t>
  </si>
  <si>
    <t>często</t>
  </si>
  <si>
    <t>bo BL a L5 zbyt regularny układ</t>
  </si>
  <si>
    <t>rzadko, w zdrapki</t>
  </si>
  <si>
    <t>Złote Tarasy</t>
  </si>
  <si>
    <t>przeczucie i daty urodzin</t>
  </si>
  <si>
    <t>BL bo M5 podzielne przez 5 to tak nie będzie</t>
  </si>
  <si>
    <t>mecze dość często</t>
  </si>
  <si>
    <t>WP; 50gr nie bo nie ma dla niego znaczenia, powinno być wycofane bo rośnie dług publiczny</t>
  </si>
  <si>
    <t>WJ i TP więc za 50gr zmienił zdanie</t>
  </si>
  <si>
    <t>09.08.17</t>
  </si>
  <si>
    <t>R bo lepiej rozstawione ale za 1zł zmienił zdanie bo TP</t>
  </si>
  <si>
    <t>bo większa różnorodność</t>
  </si>
  <si>
    <t>U44</t>
  </si>
  <si>
    <t>10x w roku</t>
  </si>
  <si>
    <t>bo był dzień urodzin</t>
  </si>
  <si>
    <t>bo nie po koleijak w H1</t>
  </si>
  <si>
    <t>bo mniej usystematyzowane</t>
  </si>
  <si>
    <t>1x w życiu</t>
  </si>
  <si>
    <t>WJ i TP więc za 1zł zmienił zdanie</t>
  </si>
  <si>
    <t>bo bardziej rozstawione</t>
  </si>
  <si>
    <t>ładniejsza kolejność liczb</t>
  </si>
  <si>
    <t>WP że nie będzie po kolei</t>
  </si>
  <si>
    <t>U5</t>
  </si>
  <si>
    <t>bo ulubiona liczba 5 była na początku</t>
  </si>
  <si>
    <t>często z mężem</t>
  </si>
  <si>
    <t>bo była jej data urodzin</t>
  </si>
  <si>
    <t>bo ładniej ułożone ale za 1zł zmienił zdanie</t>
  </si>
  <si>
    <t>M1 bo ładniejszy ciag</t>
  </si>
  <si>
    <t>WJ, TP, 50gr nie, jak by dać więcej to może by zmienił zdanie</t>
  </si>
  <si>
    <t>U15</t>
  </si>
  <si>
    <t>1x na 3 mies</t>
  </si>
  <si>
    <t>R bo bardziej prawdopodobne niż co 5</t>
  </si>
  <si>
    <t>R bo liczby bardziej się podobały</t>
  </si>
  <si>
    <t>U4, 6</t>
  </si>
  <si>
    <t>R bo liczby 4 i 6 które preferuje</t>
  </si>
  <si>
    <t>R bo tak o wybrała bez powodu, wszystko jedno</t>
  </si>
  <si>
    <t>bo większa dywersyfikacja</t>
  </si>
  <si>
    <t>1x w mies</t>
  </si>
  <si>
    <t>U35</t>
  </si>
  <si>
    <t>H5 bo zaczyna się od 35 a lubi tę liczbę oraz mniejsze rozrzucenie liczb</t>
  </si>
  <si>
    <t>daty urodzin rodziny</t>
  </si>
  <si>
    <t>bo podzielne przez 5 i bardziej mu się podoba</t>
  </si>
  <si>
    <t>bo nie co 5</t>
  </si>
  <si>
    <t>U0</t>
  </si>
  <si>
    <t>bo więcej 0 a lubi zera</t>
  </si>
  <si>
    <t>kompleks sportowy Ursynów</t>
  </si>
  <si>
    <t>R bo są z całego przedziału a nie tylko z końca</t>
  </si>
  <si>
    <t>regularnie</t>
  </si>
  <si>
    <t>R bo jej się bardziej podobał ciąg</t>
  </si>
  <si>
    <t>lubi wyższe liczby i tak zawsze gra</t>
  </si>
  <si>
    <t>czasami mecze</t>
  </si>
  <si>
    <t>R bo w M1 małe liczby obok siebie więc tak nie wypadną</t>
  </si>
  <si>
    <t>R bo na pewno nie wypadnie po kolei jak w M1</t>
  </si>
  <si>
    <t>R bo nie po kolei ale za 50gr zmienił zdanie bo i tak ta sama szansa</t>
  </si>
  <si>
    <t>nie, tylko poker czasami</t>
  </si>
  <si>
    <t>bo bardziej losowe a nie co 5</t>
  </si>
  <si>
    <t>bardzo rzadko Lotto</t>
  </si>
  <si>
    <t>U5 a tu wiele 5</t>
  </si>
  <si>
    <t>nie, mecze czasem</t>
  </si>
  <si>
    <t>bo co 5 na pewno się nie trafi</t>
  </si>
  <si>
    <t>L5 bo lubi 5tki ale za 1zł zmienił zdanie bo i tak to samo prawd.</t>
  </si>
  <si>
    <t>kilka x w życiu, co duża kumulacja</t>
  </si>
  <si>
    <t>11.08.17</t>
  </si>
  <si>
    <t>biurowiec m.Wilanowska</t>
  </si>
  <si>
    <t>bardzo rzadko, co duża kumulacja</t>
  </si>
  <si>
    <t>M5 bo 5, 10, 15 się podobało</t>
  </si>
  <si>
    <t>ładne liczby</t>
  </si>
  <si>
    <t>bo liczby ładne ale za 50gr zmienił zdanie na R</t>
  </si>
  <si>
    <t>U7</t>
  </si>
  <si>
    <t>bo dużo 7 a to ładna sekwencja</t>
  </si>
  <si>
    <t>bo bardziej losowe i lubi 7emki</t>
  </si>
  <si>
    <t>5x w roku</t>
  </si>
  <si>
    <t xml:space="preserve">WP </t>
  </si>
  <si>
    <t>bardziej zróżnicowane liczby</t>
  </si>
  <si>
    <t>3x w roku</t>
  </si>
  <si>
    <t>bazarek m.Wilanowska</t>
  </si>
  <si>
    <t>bo lubi 5tki</t>
  </si>
  <si>
    <t>kilka x w mies</t>
  </si>
  <si>
    <t>bo nie będzie co 5</t>
  </si>
  <si>
    <t>ładniejsze liczby</t>
  </si>
  <si>
    <t>data imienin</t>
  </si>
  <si>
    <t>U64,44,15,06</t>
  </si>
  <si>
    <t>R bo były charakterystyczne jej liczby U64, 44, 15, 06</t>
  </si>
  <si>
    <t>R bo nie lubi 7emek</t>
  </si>
  <si>
    <t>bo lubi 7emki</t>
  </si>
  <si>
    <t>U77</t>
  </si>
  <si>
    <t>data urodzin 77</t>
  </si>
  <si>
    <t>ładne po kolei liczby</t>
  </si>
  <si>
    <t>BL i dużo 0 a lubi 0</t>
  </si>
  <si>
    <t>3x w życiu</t>
  </si>
  <si>
    <t>4x w mies</t>
  </si>
  <si>
    <t>bo lubi małe liczby</t>
  </si>
  <si>
    <t>17.08.17</t>
  </si>
  <si>
    <t>U11</t>
  </si>
  <si>
    <t>lubi 11 a było w R</t>
  </si>
  <si>
    <t>U24</t>
  </si>
  <si>
    <t>ulubiona 24 była w R</t>
  </si>
  <si>
    <t>U9,42,45</t>
  </si>
  <si>
    <t>ulubione 9, 42, 45 były w R</t>
  </si>
  <si>
    <t>U5,15,35</t>
  </si>
  <si>
    <t>ulubione 5, 15, 35 były w L5 oraz LS</t>
  </si>
  <si>
    <t>R bo pierwsze z lewej było a jej obojtene</t>
  </si>
  <si>
    <t>LS bo parzystych dużo</t>
  </si>
  <si>
    <t>M5 bo pierwsze z lewej było a jej obojętne ale 50gr nie warte zmiany</t>
  </si>
  <si>
    <t>U60,80</t>
  </si>
  <si>
    <t>M5 bo ulubione 60, 80</t>
  </si>
  <si>
    <t>LS, L5 bo lubi 5</t>
  </si>
  <si>
    <t>U23</t>
  </si>
  <si>
    <t>u23 więc R</t>
  </si>
  <si>
    <t>1x w roku, zdrapki</t>
  </si>
  <si>
    <t>BL oraz U7</t>
  </si>
  <si>
    <t>kilka x w tyg</t>
  </si>
  <si>
    <t>codziennie</t>
  </si>
  <si>
    <t>U9,39,55,56</t>
  </si>
  <si>
    <t>U9, 39, 55, 56</t>
  </si>
  <si>
    <t>bo LS ale za 50gr wzieła R</t>
  </si>
  <si>
    <t>R bo intuicja</t>
  </si>
  <si>
    <t>H5 bo lubi duże liczby</t>
  </si>
  <si>
    <t>BL, TP</t>
  </si>
  <si>
    <t>H1 bo w lotto są liczby obok siebie z rzędu jak padają wygrane</t>
  </si>
  <si>
    <t>H1 bo lubi 7emki</t>
  </si>
  <si>
    <t>odruchowo bo z prawej</t>
  </si>
  <si>
    <t>U1</t>
  </si>
  <si>
    <t>U1 i bo z prawej odruchowo</t>
  </si>
  <si>
    <t>M5 bo LS i większe rozrzucenie liczb</t>
  </si>
  <si>
    <t>M5 bo LS</t>
  </si>
  <si>
    <t>niby TP ale jednak R bo WP</t>
  </si>
  <si>
    <t>R bo LS</t>
  </si>
  <si>
    <t>R bo LS ale za 1zł zmienia na H5</t>
  </si>
  <si>
    <t>R bo były też niskie liczby a nie jak w H5, więc BL</t>
  </si>
  <si>
    <t>H5 bo pierwszy w oko i LS ładne wysokie liczby</t>
  </si>
  <si>
    <t>M1 bo LS duże liczby na końcu</t>
  </si>
  <si>
    <t>18.08.17</t>
  </si>
  <si>
    <t>R bo WJ ale za 1zł H1</t>
  </si>
  <si>
    <t>H5 bo LS ale za 1zł R</t>
  </si>
  <si>
    <t>L1 bo ważne daty</t>
  </si>
  <si>
    <t>R bo w M! nie lubi 7, a w R lubi 5</t>
  </si>
  <si>
    <t>M1 odruchowo</t>
  </si>
  <si>
    <t>R bo WP ale za 1zł zmiana zdania</t>
  </si>
  <si>
    <t>M1 bo odruchowo ale 50gr nie bo pierwszy wybór</t>
  </si>
  <si>
    <t>H5 bo odruchowo z lewej ale za 50g zmienia na R</t>
  </si>
  <si>
    <t>21.08.17</t>
  </si>
  <si>
    <t>R bo losowe bardziej</t>
  </si>
  <si>
    <t>H1 odruchowo i TP ale 1zł nie</t>
  </si>
  <si>
    <t>R bo WP ale za 50gr H1 bo niby wie że TP</t>
  </si>
  <si>
    <t>R odruchowo, intuicja</t>
  </si>
  <si>
    <t>R bo odruchowo i potem zobaczyła tam ulubione 7, ale za 50gr H5</t>
  </si>
  <si>
    <t>przeczucie</t>
  </si>
  <si>
    <t>R bo WP</t>
  </si>
  <si>
    <t>L1 bo LS</t>
  </si>
  <si>
    <t>L1 jakoś tak wpadło w oko</t>
  </si>
  <si>
    <t>1x w tygodniu, w pracy razem z innymi</t>
  </si>
  <si>
    <t>R bo WP i BL</t>
  </si>
  <si>
    <t>L5 bo LS</t>
  </si>
  <si>
    <t>co 3 mies</t>
  </si>
  <si>
    <t>L5 odruchowo</t>
  </si>
  <si>
    <t>L5 bo WJ więc odruchowo wpadło w oko</t>
  </si>
  <si>
    <t>M1 bo data urodzenia</t>
  </si>
  <si>
    <t>M1 bo LS</t>
  </si>
  <si>
    <t>R bo BL</t>
  </si>
  <si>
    <t>2x w tygodniu</t>
  </si>
  <si>
    <t>R bo U24 urodziny brata</t>
  </si>
  <si>
    <t>R bo BL i WP</t>
  </si>
  <si>
    <t>R bo WJ</t>
  </si>
  <si>
    <t>R bo U7 i WP</t>
  </si>
  <si>
    <t>M1 bo U7</t>
  </si>
  <si>
    <t>22.08.17</t>
  </si>
  <si>
    <t>R bo więcej liczb lepiej się kojarzy</t>
  </si>
  <si>
    <t>R choć wie że TP ale w rzeczywistości nigdy po kolei nie widział a R widział więc R bo WP</t>
  </si>
  <si>
    <t>R ale WJ więc pierwszy po lewej</t>
  </si>
  <si>
    <t>R bo ładna kolejność pierwszych liczb, ale za 1zł H5</t>
  </si>
  <si>
    <t>H5 bo lubi 5 a tu ich dużo</t>
  </si>
  <si>
    <t>R bo pierwszy w lewej a WJ</t>
  </si>
  <si>
    <t>U3</t>
  </si>
  <si>
    <t>R bo pierwsze wpadło w oko i U3</t>
  </si>
  <si>
    <t>M1 bo różne szczęśliwe liczby</t>
  </si>
  <si>
    <t>U79</t>
  </si>
  <si>
    <t>R bo lubi 79 a rzuciło się w oko</t>
  </si>
  <si>
    <t>M5 bo WJ i LS</t>
  </si>
  <si>
    <t>23.08.17</t>
  </si>
  <si>
    <t>H1 bo 7 i rok urodzin w rodzinie</t>
  </si>
  <si>
    <t>H1 bo dużo 7 a to szczęśliwe</t>
  </si>
  <si>
    <t>co drugi dzień</t>
  </si>
  <si>
    <t>H5 bo LS</t>
  </si>
  <si>
    <t>H5 bo daty urodzin ale za 50gr R</t>
  </si>
  <si>
    <t>R bo BL i większy rozrzut</t>
  </si>
  <si>
    <t>U66</t>
  </si>
  <si>
    <t>R bo BL i U66</t>
  </si>
  <si>
    <t>M1 bo LS ale za 50gr R</t>
  </si>
  <si>
    <t>U13,78</t>
  </si>
  <si>
    <t>R bo lubi 13 i 78</t>
  </si>
  <si>
    <t>11.09.17</t>
  </si>
  <si>
    <t>nigdy</t>
  </si>
  <si>
    <t>kx w roku</t>
  </si>
  <si>
    <t>2x w mies</t>
  </si>
  <si>
    <t>13.09.17</t>
  </si>
  <si>
    <t>lubi 7</t>
  </si>
  <si>
    <t>1x w tyg</t>
  </si>
  <si>
    <t>regularnie co tydzień</t>
  </si>
  <si>
    <t>12.09.17</t>
  </si>
  <si>
    <t>bo są szczęśliwe liczby</t>
  </si>
  <si>
    <t>2-3x w mies</t>
  </si>
  <si>
    <t>2-4x w roku</t>
  </si>
  <si>
    <t>1x w mies w Lotto</t>
  </si>
  <si>
    <t>raz grała</t>
  </si>
  <si>
    <t>ładnie po kolei</t>
  </si>
  <si>
    <t>1-2x w roku</t>
  </si>
  <si>
    <t>bo lepsze liczby</t>
  </si>
  <si>
    <t>6x w roku</t>
  </si>
  <si>
    <t>2-3x w roku</t>
  </si>
  <si>
    <t>3-4x w tyg</t>
  </si>
  <si>
    <t>kx w mies</t>
  </si>
  <si>
    <t>ulubiona 7</t>
  </si>
  <si>
    <t>WJ- wszystko jedno bo to samo prawd.</t>
  </si>
  <si>
    <t>BL- bardziej losowe</t>
  </si>
  <si>
    <t>U17-ulubiona 17</t>
  </si>
  <si>
    <t>U- ulubione/ "ich"/ważne/jakieś nie konkretne liczby</t>
  </si>
  <si>
    <t>LS- ładna sekwencja</t>
  </si>
  <si>
    <t>WP- większe prawd.</t>
  </si>
  <si>
    <t>TP- wie że to samo prawd.</t>
  </si>
  <si>
    <t>O- odruchowo (z prawej lub lewej)/nie wie czemu/intuicja/"losowo" wybrany/przeczucie</t>
  </si>
  <si>
    <t>BR- bardziej rozłożone, rozproszone, rozstawione, lepiej rozłożone, większy spread, większy rozrzut, bo bardziej cały przedział, bo nie po kolei</t>
  </si>
  <si>
    <t>bardziej zróżnicowane</t>
  </si>
  <si>
    <t>nR vs. 1/50 vs P/L</t>
  </si>
  <si>
    <t>Count of no</t>
  </si>
  <si>
    <t>Column Labels</t>
  </si>
  <si>
    <t>Row Labels</t>
  </si>
  <si>
    <t>1zł</t>
  </si>
  <si>
    <t>50gr</t>
  </si>
  <si>
    <t>Grand Total</t>
  </si>
  <si>
    <t>1/50 vs TAK/NIE</t>
  </si>
  <si>
    <t>nR vs 1/50 vs P/R vs H/T vs 14/21 vs miejsce</t>
  </si>
  <si>
    <t>1/50</t>
  </si>
  <si>
    <t>switch rate</t>
  </si>
  <si>
    <t>if 3H/T then what?</t>
  </si>
  <si>
    <t>then 4th?</t>
  </si>
  <si>
    <t>if 3H/T</t>
  </si>
  <si>
    <t>3xH/T-&gt; opposite</t>
  </si>
  <si>
    <t>3xH/T -&gt; the same</t>
  </si>
  <si>
    <t>3xH/T -&gt; 50/50</t>
  </si>
  <si>
    <t>before 14/21?</t>
  </si>
  <si>
    <t>nR vs. H/T</t>
  </si>
  <si>
    <t>nR vs. 14/21</t>
  </si>
  <si>
    <t>miejsce vs czas</t>
  </si>
  <si>
    <t>plan do zrobienia aby "dodać" ortogonalności do dotychczasowych całych danych</t>
  </si>
  <si>
    <t>1A. WHAT IS FROM PIVOT NOW</t>
  </si>
  <si>
    <t>=====</t>
  </si>
  <si>
    <t>1A=1B. WHAT IS (MANUAL)</t>
  </si>
  <si>
    <t>2. WHAT WILL BE (+ 100 nowe obserwacje)</t>
  </si>
  <si>
    <t>-----&gt;</t>
  </si>
  <si>
    <t>3A. TO DO</t>
  </si>
  <si>
    <t>Column</t>
  </si>
  <si>
    <t>14 Total</t>
  </si>
  <si>
    <t>21 Total</t>
  </si>
  <si>
    <t>TO DO</t>
  </si>
  <si>
    <t>50/50</t>
  </si>
  <si>
    <t>$ TAK</t>
  </si>
  <si>
    <t>H Count</t>
  </si>
  <si>
    <t>T Count</t>
  </si>
  <si>
    <t>bez różnicy mu, bo to samo</t>
  </si>
  <si>
    <t>ASIA</t>
  </si>
  <si>
    <t>BL+ BR</t>
  </si>
  <si>
    <t>nR</t>
  </si>
  <si>
    <t>(Multiple Items)</t>
  </si>
  <si>
    <t>sex</t>
  </si>
  <si>
    <t>tak jest (z wpisanymi wszystkimi przyszłymi)</t>
  </si>
  <si>
    <t>początkowe nowe 100</t>
  </si>
  <si>
    <t>---&gt;&gt;</t>
  </si>
  <si>
    <t>poprawione aby było orto wszystko więc 116</t>
  </si>
  <si>
    <t>bazarek</t>
  </si>
  <si>
    <t>m.Swieto</t>
  </si>
  <si>
    <t>RondoDeG</t>
  </si>
  <si>
    <t>Zel/Soli</t>
  </si>
  <si>
    <t>KomplSport</t>
  </si>
  <si>
    <t>biurowiec</t>
  </si>
  <si>
    <t>ZloteTarasy</t>
  </si>
  <si>
    <t>WP/ BL</t>
  </si>
  <si>
    <t>U (data urodzin)</t>
  </si>
  <si>
    <t>BL + WP</t>
  </si>
  <si>
    <t>WJ ale jest tam U</t>
  </si>
  <si>
    <t>bo śmieszne liczby</t>
  </si>
  <si>
    <t>U (13)</t>
  </si>
  <si>
    <t>LS/BL</t>
  </si>
  <si>
    <t>BL/ LS</t>
  </si>
  <si>
    <t>BL/ BR</t>
  </si>
  <si>
    <t>WP/BL</t>
  </si>
  <si>
    <t>U (7)</t>
  </si>
  <si>
    <t>bo czuje podstęp</t>
  </si>
  <si>
    <t>U (1)</t>
  </si>
  <si>
    <t>BR+BL</t>
  </si>
  <si>
    <t>WJ (ale Lotto i tak ustawia mafia)</t>
  </si>
  <si>
    <t>woli liczby po prawej</t>
  </si>
  <si>
    <t>bo po lewej</t>
  </si>
  <si>
    <t>nie lubi chybił trafił</t>
  </si>
  <si>
    <t>bo pełne liczby</t>
  </si>
  <si>
    <t>U (mnożnik 5)</t>
  </si>
  <si>
    <t>BL/WP</t>
  </si>
  <si>
    <t>WJ I U (7)</t>
  </si>
  <si>
    <t>BL, LS</t>
  </si>
  <si>
    <t>LS/WP</t>
  </si>
  <si>
    <t>12.10.17</t>
  </si>
  <si>
    <t>16.10.17</t>
  </si>
  <si>
    <t>10.10.17</t>
  </si>
  <si>
    <t>WOMEN</t>
  </si>
  <si>
    <t>MEN</t>
  </si>
  <si>
    <t>BL+BR</t>
  </si>
  <si>
    <t>SWITCH</t>
  </si>
  <si>
    <t>for 1</t>
  </si>
  <si>
    <t>for .5</t>
  </si>
  <si>
    <t>STAY</t>
  </si>
  <si>
    <t xml:space="preserve">if 3x H/T then: </t>
  </si>
  <si>
    <t>Reversal</t>
  </si>
  <si>
    <t>Continuation</t>
  </si>
  <si>
    <t>Asia</t>
  </si>
  <si>
    <t>Konrad</t>
  </si>
  <si>
    <t>KON</t>
  </si>
  <si>
    <t>Conti</t>
  </si>
  <si>
    <t>Cont</t>
  </si>
  <si>
    <t>R Stay</t>
  </si>
  <si>
    <t>nR Stay</t>
  </si>
  <si>
    <t>R Switch</t>
  </si>
  <si>
    <t>nR Switch</t>
  </si>
  <si>
    <t>Heads?</t>
  </si>
  <si>
    <t>Tails?</t>
  </si>
  <si>
    <t>Random, stay</t>
  </si>
  <si>
    <t xml:space="preserve">Distinctive </t>
  </si>
  <si>
    <t>Random, switch</t>
  </si>
  <si>
    <t>Total</t>
  </si>
  <si>
    <t>Nice sequence</t>
  </si>
  <si>
    <t>0.077</t>
  </si>
  <si>
    <t>Favourite numbers</t>
  </si>
  <si>
    <t>More random numbers</t>
  </si>
  <si>
    <t>Higher probability</t>
  </si>
  <si>
    <t>Aware (of the same prob.)</t>
  </si>
  <si>
    <t>Indifferent</t>
  </si>
  <si>
    <t>Intuition</t>
  </si>
  <si>
    <t>0.038</t>
  </si>
  <si>
    <t>More spread</t>
  </si>
  <si>
    <t>n=472</t>
  </si>
  <si>
    <t>n=142</t>
  </si>
  <si>
    <t>n=50</t>
  </si>
  <si>
    <t>n=280</t>
  </si>
  <si>
    <t>Distinctive- stay</t>
  </si>
  <si>
    <t>Distinctive- switch</t>
  </si>
  <si>
    <t>n=116</t>
  </si>
  <si>
    <t>n=26</t>
  </si>
  <si>
    <t>Distinctive, stay</t>
  </si>
  <si>
    <t>Distinctive, switch n=26</t>
  </si>
  <si>
    <t>0.060</t>
  </si>
  <si>
    <t>0.054</t>
  </si>
  <si>
    <t>0.142</t>
  </si>
  <si>
    <t>0.080</t>
  </si>
  <si>
    <t>0.132</t>
  </si>
  <si>
    <t>0.167</t>
  </si>
  <si>
    <t>0.420</t>
  </si>
  <si>
    <t>0.068</t>
  </si>
  <si>
    <t>0.133</t>
  </si>
  <si>
    <t>0.120</t>
  </si>
  <si>
    <t>0.018</t>
  </si>
  <si>
    <t>0.028</t>
  </si>
  <si>
    <t>0.020</t>
  </si>
  <si>
    <t>0.136</t>
  </si>
  <si>
    <t>0.150</t>
  </si>
  <si>
    <t>0.100</t>
  </si>
  <si>
    <t>0.171</t>
  </si>
  <si>
    <t>0.127</t>
  </si>
  <si>
    <t>0.089</t>
  </si>
  <si>
    <t>0.076</t>
  </si>
  <si>
    <t>0.280</t>
  </si>
  <si>
    <t>0.500</t>
  </si>
  <si>
    <t>0.328</t>
  </si>
  <si>
    <t>0.423</t>
  </si>
  <si>
    <t>0.302</t>
  </si>
  <si>
    <t>0.115</t>
  </si>
  <si>
    <t>0.121</t>
  </si>
  <si>
    <t>0.346</t>
  </si>
  <si>
    <t>0.009</t>
  </si>
  <si>
    <t>0.259</t>
  </si>
  <si>
    <t>0.000</t>
  </si>
  <si>
    <t>0.034</t>
  </si>
  <si>
    <t>DIFFERENCE</t>
  </si>
  <si>
    <t>Rev</t>
  </si>
  <si>
    <t>Half</t>
  </si>
  <si>
    <t>e_more_randORspread</t>
  </si>
  <si>
    <t>nr</t>
  </si>
  <si>
    <t>nR on the right (P)/ left (L)</t>
  </si>
  <si>
    <t>bonus 50gr/1zł ?</t>
  </si>
  <si>
    <t>sex (female(K)/male(M)</t>
  </si>
  <si>
    <t>chose R/nR?</t>
  </si>
  <si>
    <t>took 50gr/1zł?</t>
  </si>
  <si>
    <t>finally has R/nR?</t>
  </si>
  <si>
    <t>3x head (H)/tail (T)?</t>
  </si>
  <si>
    <t>then 4th: H/T/B/0</t>
  </si>
  <si>
    <t>play lotteries?</t>
  </si>
  <si>
    <t>play lotteries code</t>
  </si>
  <si>
    <t>play lotteries?_full</t>
  </si>
  <si>
    <t>STATA name</t>
  </si>
  <si>
    <t>explanation</t>
  </si>
  <si>
    <t>observation number</t>
  </si>
  <si>
    <t>nR displayed</t>
  </si>
  <si>
    <t>nR= non Random= Distinctive; type of nR presented to subject</t>
  </si>
  <si>
    <t>nR displayed to the subject on the right (P) or left (L)</t>
  </si>
  <si>
    <t>sex of the subject: female (K), male (M)</t>
  </si>
  <si>
    <t>did the subject change mind for the offered bonus? Yes (TAK), No (NIE)</t>
  </si>
  <si>
    <t>finally the subject has R or nR-type</t>
  </si>
  <si>
    <t>subject was asked to predict the 4th toss after 3 heads (H) or tails (T) came up</t>
  </si>
  <si>
    <t>reversal if predicted H after 3x T or predicted T after 3x H</t>
  </si>
  <si>
    <t>continuation if predicted H after 3x H or T after 3x T</t>
  </si>
  <si>
    <t>50/50 if predicted 50/50 (B)</t>
  </si>
  <si>
    <t>date of observation collection</t>
  </si>
  <si>
    <t>observation collected before the first drawing of the day at 14:00 (14) or before second drawing of th day at 21.40 (21)</t>
  </si>
  <si>
    <t>location of observation collection</t>
  </si>
  <si>
    <t>experimenter: female (A), male (K)</t>
  </si>
  <si>
    <t>full answear of the subject</t>
  </si>
  <si>
    <t>based on: Rogers, P., &amp; Webley, P. (2001). “It could be us!”: cognitive and social psychological factors in UK National Lottery play. Applied Psychology, 50(1), 181-199.</t>
  </si>
  <si>
    <t>if favourite number (U) then which number?</t>
  </si>
  <si>
    <t>the subject initially chose: random (R) or nR (type_nR)</t>
  </si>
  <si>
    <t>their prediction of the 4th toss: head (H), tail (T), 50/50 (B), no response/other response (0)</t>
  </si>
  <si>
    <t>5. always (at least once a week; few times a month)</t>
  </si>
  <si>
    <t>4. regularly (often; less than 4x a month; at least 10x a year)</t>
  </si>
  <si>
    <t>3. occasionally (sometimes; few times a year; at least 3x a year)</t>
  </si>
  <si>
    <t>2. rarely (rarely; very rarely; few times in a lifetime; once a year; max. 2x a year)</t>
  </si>
  <si>
    <t>1. never (no; never)</t>
  </si>
  <si>
    <t xml:space="preserve">explanation code for their choice; see below </t>
  </si>
  <si>
    <t>2nd explanation code, if given</t>
  </si>
  <si>
    <t>intuition (intuitively one on the right/left; doesn't know why this one; intuition; "randomly" chosen; had a feeling)</t>
  </si>
  <si>
    <t>chosen ticket has higher probability of being drawn</t>
  </si>
  <si>
    <t>stated that indifferent between the two beause aware of the same probability</t>
  </si>
  <si>
    <t>the numbers on the ticket form a nice sequence</t>
  </si>
  <si>
    <t>numbers on the chosen ticket are more random</t>
  </si>
  <si>
    <t>the ticket has their favourite (/lucky/ "their"/ important) number</t>
  </si>
  <si>
    <t>numbers on the ticket are more spread/ scattered, not sequential/ from the whole range</t>
  </si>
  <si>
    <t>stated that aware of the same probability of the tickets (regardless of their choice)</t>
  </si>
  <si>
    <t>more diversified/ less systematic/ not every 5</t>
  </si>
  <si>
    <t>DID THEY CHANGE MIND FOR $?</t>
  </si>
  <si>
    <t>DID THEY CHANGE MIND FOR $? ASIA VS. KONRAD</t>
  </si>
  <si>
    <t>A- female experimenter</t>
  </si>
  <si>
    <t>K- male experimenter</t>
  </si>
  <si>
    <t>ASIA (A)</t>
  </si>
  <si>
    <t>KONRAD (K)</t>
  </si>
  <si>
    <t>DID THEY CHANGE MIND FOR $?  WOMEN vs. MEN</t>
  </si>
  <si>
    <t>DID THEY CHANGE MIND FOR $?  WOMEN vs. MEN vs. A vs. K</t>
  </si>
  <si>
    <t>K Total</t>
  </si>
  <si>
    <t>Experimenter</t>
  </si>
  <si>
    <t>Female</t>
  </si>
  <si>
    <t>Male</t>
  </si>
  <si>
    <t>53.6% (253)</t>
  </si>
  <si>
    <t>46.4% (219)</t>
  </si>
  <si>
    <t>Participant</t>
  </si>
  <si>
    <t>55.7% (141)</t>
  </si>
  <si>
    <t>44.3% (112)</t>
  </si>
  <si>
    <t>48.9% (107)</t>
  </si>
  <si>
    <t>51.1% (112)</t>
  </si>
  <si>
    <t>Initially random</t>
  </si>
  <si>
    <t>68.1% (96)</t>
  </si>
  <si>
    <t>77.7% (87)</t>
  </si>
  <si>
    <t>71.0% (76)</t>
  </si>
  <si>
    <t>63.4% (71)</t>
  </si>
  <si>
    <t>Among initially random: Switch...</t>
  </si>
  <si>
    <t>for .50 PLN</t>
  </si>
  <si>
    <t>6.7% (5)</t>
  </si>
  <si>
    <t>16.3% (8)</t>
  </si>
  <si>
    <t>8.2% (4)</t>
  </si>
  <si>
    <t>20.7% (12)</t>
  </si>
  <si>
    <t>for 1.00 PLN</t>
  </si>
  <si>
    <t>10.6% (7)</t>
  </si>
  <si>
    <t>27.0% (17)</t>
  </si>
  <si>
    <t>12.1% (7)</t>
  </si>
  <si>
    <t>29.6% (16)</t>
  </si>
  <si>
    <t>Among ALL: Switch...</t>
  </si>
  <si>
    <t>66</t>
  </si>
  <si>
    <t>75</t>
  </si>
  <si>
    <t>44</t>
  </si>
  <si>
    <t>52</t>
  </si>
  <si>
    <t>females</t>
  </si>
  <si>
    <t>males</t>
  </si>
  <si>
    <t>4.5% (2)</t>
  </si>
  <si>
    <t>13.5% (7)</t>
  </si>
  <si>
    <t>13.2% (5)</t>
  </si>
  <si>
    <t>24.5% (12)</t>
  </si>
  <si>
    <t>6.5% (2)</t>
  </si>
  <si>
    <t>8.9% (4)</t>
  </si>
  <si>
    <t>20.0% (8)</t>
  </si>
  <si>
    <t>32.3% (10)</t>
  </si>
  <si>
    <t>TABLE 4</t>
  </si>
  <si>
    <t>bonus offered to the subject: 50gr, 1zł (=100gr)</t>
  </si>
  <si>
    <t>variable</t>
  </si>
  <si>
    <t>row 1 in 'data' sheet</t>
  </si>
  <si>
    <t>row 2 in 'data'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</si>
</sst>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"/>
  </numFmts>
  <fonts count="2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2"/>
      <color rgb="FF7B7B7B"/>
      <name val="Calibri"/>
      <family val="2"/>
      <scheme val="minor"/>
    </font>
    <font>
      <b/>
      <sz val="10"/>
      <color indexed="81"/>
      <name val="Calibri"/>
      <family val="2"/>
    </font>
    <font>
      <sz val="10"/>
      <color indexed="81"/>
      <name val="Calibri"/>
      <family val="2"/>
    </font>
    <font>
      <sz val="10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-0.249977111117893"/>
        <bgColor theme="9" tint="-0.249977111117893"/>
      </patternFill>
    </fill>
    <fill>
      <patternFill patternType="solid">
        <fgColor rgb="FF548235"/>
        <bgColor rgb="FF548235"/>
      </patternFill>
    </fill>
    <fill>
      <patternFill patternType="solid">
        <fgColor rgb="FFA9D08E"/>
        <bgColor rgb="FFA9D08E"/>
      </patternFill>
    </fill>
    <fill>
      <patternFill patternType="solid">
        <fgColor rgb="FFE2EFDA"/>
        <bgColor rgb="FFE2EFDA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73">
    <border>
      <left/>
      <right/>
      <top/>
      <bottom/>
      <diagonal/>
    </border>
    <border>
      <left/>
      <right style="medium">
        <color auto="1"/>
      </right>
      <top style="thin">
        <color theme="6"/>
      </top>
      <bottom style="thin">
        <color theme="6"/>
      </bottom>
      <diagonal/>
    </border>
    <border>
      <left style="medium">
        <color auto="1"/>
      </left>
      <right/>
      <top style="medium">
        <color auto="1"/>
      </top>
      <bottom style="thin">
        <color theme="6"/>
      </bottom>
      <diagonal/>
    </border>
    <border>
      <left/>
      <right/>
      <top style="medium">
        <color auto="1"/>
      </top>
      <bottom style="thin">
        <color theme="6"/>
      </bottom>
      <diagonal/>
    </border>
    <border>
      <left/>
      <right style="medium">
        <color auto="1"/>
      </right>
      <top style="medium">
        <color auto="1"/>
      </top>
      <bottom style="thin">
        <color theme="6"/>
      </bottom>
      <diagonal/>
    </border>
    <border>
      <left style="medium">
        <color auto="1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rgb="FF548235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rgb="FF548235"/>
      </top>
      <bottom style="thin">
        <color rgb="FF548235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rgb="FF548235"/>
      </top>
      <bottom style="thin">
        <color rgb="FFE2EFDA"/>
      </bottom>
      <diagonal/>
    </border>
    <border>
      <left style="medium">
        <color auto="1"/>
      </left>
      <right style="medium">
        <color auto="1"/>
      </right>
      <top/>
      <bottom style="thin">
        <color rgb="FFE2EFDA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rgb="FFE2EFDA"/>
      </top>
      <bottom style="thin">
        <color rgb="FFE2EFDA"/>
      </bottom>
      <diagonal/>
    </border>
    <border>
      <left style="medium">
        <color auto="1"/>
      </left>
      <right/>
      <top/>
      <bottom style="thin">
        <color rgb="FFE2EFDA"/>
      </bottom>
      <diagonal/>
    </border>
    <border>
      <left/>
      <right style="medium">
        <color auto="1"/>
      </right>
      <top/>
      <bottom style="thin">
        <color rgb="FFE2EFDA"/>
      </bottom>
      <diagonal/>
    </border>
    <border>
      <left/>
      <right/>
      <top/>
      <bottom style="thin">
        <color rgb="FFE2EFDA"/>
      </bottom>
      <diagonal/>
    </border>
    <border>
      <left style="medium">
        <color auto="1"/>
      </left>
      <right style="medium">
        <color auto="1"/>
      </right>
      <top style="thin">
        <color rgb="FFE2EFDA"/>
      </top>
      <bottom style="thin">
        <color rgb="FFE2EFDA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thin">
        <color rgb="FFE2EFDA"/>
      </top>
      <bottom style="thin">
        <color rgb="FF70AD47"/>
      </bottom>
      <diagonal/>
    </border>
    <border>
      <left style="medium">
        <color auto="1"/>
      </left>
      <right/>
      <top style="thin">
        <color rgb="FFE2EFDA"/>
      </top>
      <bottom style="thin">
        <color rgb="FF70AD47"/>
      </bottom>
      <diagonal/>
    </border>
    <border>
      <left/>
      <right style="medium">
        <color auto="1"/>
      </right>
      <top style="thin">
        <color rgb="FFE2EFDA"/>
      </top>
      <bottom style="thin">
        <color rgb="FF70AD47"/>
      </bottom>
      <diagonal/>
    </border>
    <border>
      <left/>
      <right style="medium">
        <color auto="1"/>
      </right>
      <top style="thin">
        <color rgb="FFE2EFDA"/>
      </top>
      <bottom/>
      <diagonal/>
    </border>
    <border>
      <left style="medium">
        <color auto="1"/>
      </left>
      <right style="medium">
        <color auto="1"/>
      </right>
      <top style="thin">
        <color rgb="FFE2EFDA"/>
      </top>
      <bottom style="thin">
        <color rgb="FF70AD47"/>
      </bottom>
      <diagonal/>
    </border>
    <border>
      <left style="medium">
        <color auto="1"/>
      </left>
      <right/>
      <top style="thin">
        <color rgb="FFE2EFDA"/>
      </top>
      <bottom style="thin">
        <color rgb="FFE2EFDA"/>
      </bottom>
      <diagonal/>
    </border>
    <border>
      <left/>
      <right style="medium">
        <color auto="1"/>
      </right>
      <top style="thin">
        <color rgb="FFE2EFDA"/>
      </top>
      <bottom style="thin">
        <color rgb="FFE2EFDA"/>
      </bottom>
      <diagonal/>
    </border>
    <border>
      <left style="medium">
        <color auto="1"/>
      </left>
      <right/>
      <top style="thin">
        <color rgb="FF70AD47"/>
      </top>
      <bottom style="thin">
        <color rgb="FFE2EFDA"/>
      </bottom>
      <diagonal/>
    </border>
    <border>
      <left/>
      <right/>
      <top style="thin">
        <color rgb="FFE2EFDA"/>
      </top>
      <bottom style="double">
        <color auto="1"/>
      </bottom>
      <diagonal/>
    </border>
    <border>
      <left style="medium">
        <color auto="1"/>
      </left>
      <right/>
      <top style="thin">
        <color rgb="FFE2EFDA"/>
      </top>
      <bottom style="double">
        <color auto="1"/>
      </bottom>
      <diagonal/>
    </border>
    <border>
      <left/>
      <right style="medium">
        <color auto="1"/>
      </right>
      <top style="thin">
        <color rgb="FFE2EFDA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rgb="FFE2EFDA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thin">
        <color rgb="FF548235"/>
      </top>
      <bottom style="thin">
        <color rgb="FFC6E0B4"/>
      </bottom>
      <diagonal/>
    </border>
    <border>
      <left/>
      <right/>
      <top style="double">
        <color rgb="FF548235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6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slantDashDot">
        <color auto="1"/>
      </right>
      <top style="medium">
        <color auto="1"/>
      </top>
      <bottom/>
      <diagonal/>
    </border>
    <border>
      <left style="medium">
        <color auto="1"/>
      </left>
      <right style="slantDashDot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02">
    <xf numFmtId="0" fontId="0" fillId="0" borderId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87">
    <xf numFmtId="0" fontId="0" fillId="0" borderId="0" xfId="0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7" xfId="0" applyFont="1" applyBorder="1"/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 shrinkToFit="1"/>
    </xf>
    <xf numFmtId="0" fontId="7" fillId="0" borderId="0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2" borderId="7" xfId="0" applyFont="1" applyFill="1" applyBorder="1"/>
    <xf numFmtId="0" fontId="7" fillId="2" borderId="8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shrinkToFit="1"/>
    </xf>
    <xf numFmtId="0" fontId="7" fillId="2" borderId="0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left" shrinkToFit="1"/>
    </xf>
    <xf numFmtId="0" fontId="7" fillId="0" borderId="9" xfId="0" applyFont="1" applyBorder="1" applyAlignment="1">
      <alignment horizontal="left"/>
    </xf>
    <xf numFmtId="0" fontId="7" fillId="4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7" fillId="2" borderId="0" xfId="0" applyFont="1" applyFill="1"/>
    <xf numFmtId="0" fontId="8" fillId="2" borderId="8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0" xfId="0" applyFill="1"/>
    <xf numFmtId="0" fontId="4" fillId="0" borderId="0" xfId="0" applyFont="1"/>
    <xf numFmtId="0" fontId="4" fillId="5" borderId="0" xfId="0" applyFont="1" applyFill="1"/>
    <xf numFmtId="0" fontId="0" fillId="5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pivotButton="1"/>
    <xf numFmtId="0" fontId="4" fillId="4" borderId="0" xfId="0" applyFont="1" applyFill="1"/>
    <xf numFmtId="0" fontId="0" fillId="4" borderId="0" xfId="0" applyFill="1"/>
    <xf numFmtId="0" fontId="0" fillId="0" borderId="9" xfId="0" applyBorder="1"/>
    <xf numFmtId="164" fontId="0" fillId="0" borderId="0" xfId="1" applyNumberFormat="1" applyFont="1"/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0" fontId="0" fillId="0" borderId="8" xfId="0" applyBorder="1"/>
    <xf numFmtId="0" fontId="4" fillId="0" borderId="10" xfId="0" applyFont="1" applyBorder="1"/>
    <xf numFmtId="0" fontId="4" fillId="0" borderId="9" xfId="0" applyFont="1" applyBorder="1"/>
    <xf numFmtId="164" fontId="0" fillId="0" borderId="8" xfId="1" applyNumberFormat="1" applyFont="1" applyBorder="1"/>
    <xf numFmtId="164" fontId="0" fillId="0" borderId="11" xfId="1" applyNumberFormat="1" applyFont="1" applyBorder="1"/>
    <xf numFmtId="164" fontId="0" fillId="0" borderId="12" xfId="1" applyNumberFormat="1" applyFont="1" applyBorder="1"/>
    <xf numFmtId="164" fontId="0" fillId="0" borderId="0" xfId="0" applyNumberFormat="1"/>
    <xf numFmtId="0" fontId="0" fillId="0" borderId="0" xfId="0" quotePrefix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2" fillId="7" borderId="17" xfId="0" applyFont="1" applyFill="1" applyBorder="1"/>
    <xf numFmtId="0" fontId="13" fillId="7" borderId="18" xfId="0" applyFont="1" applyFill="1" applyBorder="1"/>
    <xf numFmtId="0" fontId="13" fillId="7" borderId="19" xfId="0" applyFont="1" applyFill="1" applyBorder="1"/>
    <xf numFmtId="0" fontId="13" fillId="7" borderId="0" xfId="0" applyFont="1" applyFill="1" applyBorder="1"/>
    <xf numFmtId="0" fontId="13" fillId="7" borderId="20" xfId="0" applyFont="1" applyFill="1" applyBorder="1"/>
    <xf numFmtId="0" fontId="0" fillId="0" borderId="20" xfId="0" applyBorder="1"/>
    <xf numFmtId="0" fontId="12" fillId="7" borderId="21" xfId="0" applyFont="1" applyFill="1" applyBorder="1"/>
    <xf numFmtId="0" fontId="13" fillId="7" borderId="8" xfId="0" applyFont="1" applyFill="1" applyBorder="1"/>
    <xf numFmtId="0" fontId="13" fillId="7" borderId="7" xfId="0" applyFont="1" applyFill="1" applyBorder="1"/>
    <xf numFmtId="0" fontId="13" fillId="7" borderId="22" xfId="0" applyFont="1" applyFill="1" applyBorder="1"/>
    <xf numFmtId="0" fontId="0" fillId="0" borderId="14" xfId="0" applyBorder="1" applyAlignment="1">
      <alignment horizontal="right"/>
    </xf>
    <xf numFmtId="0" fontId="0" fillId="0" borderId="23" xfId="0" applyBorder="1"/>
    <xf numFmtId="0" fontId="13" fillId="7" borderId="24" xfId="0" applyFont="1" applyFill="1" applyBorder="1"/>
    <xf numFmtId="0" fontId="13" fillId="7" borderId="8" xfId="0" applyFont="1" applyFill="1" applyBorder="1" applyAlignment="1">
      <alignment horizontal="right"/>
    </xf>
    <xf numFmtId="0" fontId="13" fillId="7" borderId="25" xfId="0" applyFont="1" applyFill="1" applyBorder="1"/>
    <xf numFmtId="0" fontId="0" fillId="0" borderId="20" xfId="0" applyNumberFormat="1" applyBorder="1"/>
    <xf numFmtId="0" fontId="0" fillId="0" borderId="26" xfId="0" applyNumberFormat="1" applyBorder="1"/>
    <xf numFmtId="0" fontId="0" fillId="0" borderId="27" xfId="0" applyNumberFormat="1" applyBorder="1"/>
    <xf numFmtId="0" fontId="13" fillId="8" borderId="28" xfId="0" applyFont="1" applyFill="1" applyBorder="1" applyAlignment="1">
      <alignment horizontal="left"/>
    </xf>
    <xf numFmtId="0" fontId="13" fillId="8" borderId="29" xfId="0" applyFont="1" applyFill="1" applyBorder="1"/>
    <xf numFmtId="0" fontId="13" fillId="8" borderId="30" xfId="0" applyFont="1" applyFill="1" applyBorder="1"/>
    <xf numFmtId="0" fontId="13" fillId="8" borderId="31" xfId="0" applyFont="1" applyFill="1" applyBorder="1"/>
    <xf numFmtId="0" fontId="13" fillId="8" borderId="32" xfId="0" applyFont="1" applyFill="1" applyBorder="1"/>
    <xf numFmtId="0" fontId="0" fillId="0" borderId="22" xfId="0" applyNumberFormat="1" applyBorder="1"/>
    <xf numFmtId="0" fontId="0" fillId="0" borderId="33" xfId="0" applyNumberFormat="1" applyBorder="1"/>
    <xf numFmtId="0" fontId="0" fillId="0" borderId="34" xfId="0" applyNumberFormat="1" applyBorder="1"/>
    <xf numFmtId="0" fontId="14" fillId="9" borderId="35" xfId="0" applyFont="1" applyFill="1" applyBorder="1" applyAlignment="1">
      <alignment horizontal="left" indent="1"/>
    </xf>
    <xf numFmtId="0" fontId="14" fillId="9" borderId="36" xfId="0" applyFont="1" applyFill="1" applyBorder="1"/>
    <xf numFmtId="0" fontId="14" fillId="9" borderId="37" xfId="0" applyFont="1" applyFill="1" applyBorder="1"/>
    <xf numFmtId="0" fontId="14" fillId="9" borderId="35" xfId="0" applyFont="1" applyFill="1" applyBorder="1"/>
    <xf numFmtId="0" fontId="14" fillId="9" borderId="38" xfId="0" applyFont="1" applyFill="1" applyBorder="1"/>
    <xf numFmtId="0" fontId="14" fillId="9" borderId="39" xfId="0" applyFont="1" applyFill="1" applyBorder="1"/>
    <xf numFmtId="0" fontId="14" fillId="0" borderId="28" xfId="0" applyFont="1" applyBorder="1" applyAlignment="1">
      <alignment horizontal="left" indent="2"/>
    </xf>
    <xf numFmtId="0" fontId="14" fillId="0" borderId="40" xfId="0" applyFont="1" applyBorder="1"/>
    <xf numFmtId="0" fontId="14" fillId="0" borderId="41" xfId="0" applyFont="1" applyBorder="1"/>
    <xf numFmtId="0" fontId="14" fillId="0" borderId="28" xfId="0" applyFont="1" applyBorder="1"/>
    <xf numFmtId="0" fontId="14" fillId="0" borderId="42" xfId="0" applyFont="1" applyBorder="1"/>
    <xf numFmtId="0" fontId="14" fillId="0" borderId="7" xfId="0" applyFont="1" applyBorder="1"/>
    <xf numFmtId="0" fontId="14" fillId="0" borderId="32" xfId="0" applyFont="1" applyBorder="1"/>
    <xf numFmtId="0" fontId="15" fillId="0" borderId="40" xfId="0" applyFont="1" applyBorder="1"/>
    <xf numFmtId="0" fontId="15" fillId="0" borderId="41" xfId="0" applyFont="1" applyBorder="1"/>
    <xf numFmtId="0" fontId="14" fillId="0" borderId="30" xfId="0" applyFont="1" applyBorder="1"/>
    <xf numFmtId="0" fontId="14" fillId="0" borderId="43" xfId="0" applyFont="1" applyBorder="1" applyAlignment="1">
      <alignment horizontal="left" indent="2"/>
    </xf>
    <xf numFmtId="0" fontId="14" fillId="0" borderId="44" xfId="0" applyFont="1" applyBorder="1"/>
    <xf numFmtId="0" fontId="14" fillId="0" borderId="45" xfId="0" applyFont="1" applyBorder="1"/>
    <xf numFmtId="0" fontId="14" fillId="0" borderId="43" xfId="0" applyFont="1" applyBorder="1"/>
    <xf numFmtId="0" fontId="14" fillId="0" borderId="46" xfId="0" applyFont="1" applyBorder="1"/>
    <xf numFmtId="0" fontId="15" fillId="0" borderId="44" xfId="0" applyFont="1" applyBorder="1"/>
    <xf numFmtId="0" fontId="15" fillId="0" borderId="45" xfId="0" applyFont="1" applyBorder="1"/>
    <xf numFmtId="0" fontId="0" fillId="0" borderId="23" xfId="0" applyNumberFormat="1" applyBorder="1"/>
    <xf numFmtId="0" fontId="0" fillId="0" borderId="47" xfId="0" applyNumberFormat="1" applyBorder="1"/>
    <xf numFmtId="0" fontId="0" fillId="0" borderId="48" xfId="0" applyNumberFormat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/>
    <xf numFmtId="0" fontId="0" fillId="0" borderId="49" xfId="0" applyBorder="1"/>
    <xf numFmtId="0" fontId="0" fillId="0" borderId="33" xfId="0" applyBorder="1"/>
    <xf numFmtId="0" fontId="0" fillId="0" borderId="7" xfId="0" applyBorder="1"/>
    <xf numFmtId="0" fontId="0" fillId="0" borderId="22" xfId="0" applyBorder="1"/>
    <xf numFmtId="0" fontId="0" fillId="0" borderId="0" xfId="0" applyAlignment="1">
      <alignment wrapText="1"/>
    </xf>
    <xf numFmtId="0" fontId="0" fillId="0" borderId="13" xfId="0" pivotButton="1" applyBorder="1"/>
    <xf numFmtId="0" fontId="15" fillId="0" borderId="0" xfId="0" applyFont="1"/>
    <xf numFmtId="0" fontId="14" fillId="0" borderId="0" xfId="0" applyFont="1"/>
    <xf numFmtId="0" fontId="13" fillId="7" borderId="17" xfId="0" applyFont="1" applyFill="1" applyBorder="1"/>
    <xf numFmtId="0" fontId="13" fillId="7" borderId="50" xfId="0" applyFont="1" applyFill="1" applyBorder="1"/>
    <xf numFmtId="0" fontId="0" fillId="0" borderId="41" xfId="0" applyFont="1" applyBorder="1"/>
    <xf numFmtId="0" fontId="4" fillId="0" borderId="0" xfId="0" applyFont="1" applyBorder="1"/>
    <xf numFmtId="0" fontId="16" fillId="0" borderId="51" xfId="0" applyFont="1" applyBorder="1" applyAlignment="1">
      <alignment horizontal="left"/>
    </xf>
    <xf numFmtId="0" fontId="0" fillId="0" borderId="52" xfId="0" applyBorder="1" applyAlignment="1">
      <alignment horizontal="right"/>
    </xf>
    <xf numFmtId="0" fontId="0" fillId="0" borderId="53" xfId="0" applyBorder="1" applyAlignment="1">
      <alignment horizontal="right"/>
    </xf>
    <xf numFmtId="0" fontId="0" fillId="0" borderId="54" xfId="0" applyBorder="1" applyAlignment="1">
      <alignment horizontal="right"/>
    </xf>
    <xf numFmtId="0" fontId="0" fillId="0" borderId="55" xfId="0" applyBorder="1"/>
    <xf numFmtId="0" fontId="0" fillId="0" borderId="58" xfId="0" applyBorder="1"/>
    <xf numFmtId="0" fontId="5" fillId="6" borderId="0" xfId="0" applyFont="1" applyFill="1" applyBorder="1"/>
    <xf numFmtId="0" fontId="0" fillId="0" borderId="9" xfId="0" applyBorder="1" applyAlignment="1">
      <alignment horizontal="right"/>
    </xf>
    <xf numFmtId="9" fontId="0" fillId="0" borderId="0" xfId="1" applyFont="1"/>
    <xf numFmtId="0" fontId="13" fillId="8" borderId="28" xfId="0" applyFont="1" applyFill="1" applyBorder="1"/>
    <xf numFmtId="0" fontId="14" fillId="0" borderId="28" xfId="0" applyFont="1" applyBorder="1" applyAlignment="1">
      <alignment horizontal="left" indent="1"/>
    </xf>
    <xf numFmtId="0" fontId="16" fillId="0" borderId="51" xfId="0" applyFont="1" applyBorder="1"/>
    <xf numFmtId="0" fontId="14" fillId="0" borderId="55" xfId="0" applyFont="1" applyBorder="1"/>
    <xf numFmtId="0" fontId="14" fillId="0" borderId="56" xfId="0" applyFont="1" applyBorder="1"/>
    <xf numFmtId="9" fontId="14" fillId="0" borderId="58" xfId="0" applyNumberFormat="1" applyFont="1" applyBorder="1"/>
    <xf numFmtId="9" fontId="14" fillId="0" borderId="57" xfId="0" applyNumberFormat="1" applyFont="1" applyBorder="1"/>
    <xf numFmtId="0" fontId="3" fillId="0" borderId="30" xfId="0" applyFont="1" applyBorder="1"/>
    <xf numFmtId="0" fontId="15" fillId="0" borderId="30" xfId="0" applyFont="1" applyBorder="1"/>
    <xf numFmtId="0" fontId="15" fillId="0" borderId="7" xfId="0" applyFont="1" applyBorder="1"/>
    <xf numFmtId="0" fontId="15" fillId="0" borderId="42" xfId="0" applyFont="1" applyBorder="1"/>
    <xf numFmtId="0" fontId="0" fillId="0" borderId="44" xfId="0" applyFont="1" applyBorder="1"/>
    <xf numFmtId="0" fontId="0" fillId="0" borderId="40" xfId="0" applyFont="1" applyBorder="1"/>
    <xf numFmtId="0" fontId="0" fillId="0" borderId="42" xfId="0" applyFont="1" applyBorder="1"/>
    <xf numFmtId="0" fontId="0" fillId="0" borderId="59" xfId="0" applyNumberFormat="1" applyBorder="1"/>
    <xf numFmtId="0" fontId="0" fillId="0" borderId="55" xfId="0" applyNumberFormat="1" applyBorder="1"/>
    <xf numFmtId="0" fontId="0" fillId="0" borderId="58" xfId="0" applyNumberFormat="1" applyBorder="1"/>
    <xf numFmtId="0" fontId="0" fillId="0" borderId="52" xfId="0" applyBorder="1"/>
    <xf numFmtId="0" fontId="0" fillId="0" borderId="54" xfId="0" applyBorder="1"/>
    <xf numFmtId="0" fontId="4" fillId="0" borderId="40" xfId="0" applyFont="1" applyBorder="1"/>
    <xf numFmtId="0" fontId="4" fillId="0" borderId="41" xfId="0" applyFont="1" applyBorder="1"/>
    <xf numFmtId="0" fontId="4" fillId="0" borderId="45" xfId="0" applyFont="1" applyBorder="1"/>
    <xf numFmtId="0" fontId="4" fillId="0" borderId="44" xfId="0" applyFont="1" applyBorder="1"/>
    <xf numFmtId="0" fontId="4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0" fillId="0" borderId="64" xfId="0" applyBorder="1"/>
    <xf numFmtId="0" fontId="0" fillId="0" borderId="0" xfId="0" applyBorder="1"/>
    <xf numFmtId="0" fontId="15" fillId="3" borderId="41" xfId="0" applyFont="1" applyFill="1" applyBorder="1"/>
    <xf numFmtId="0" fontId="15" fillId="3" borderId="40" xfId="0" applyFont="1" applyFill="1" applyBorder="1"/>
    <xf numFmtId="164" fontId="4" fillId="0" borderId="0" xfId="1" applyNumberFormat="1" applyFont="1"/>
    <xf numFmtId="0" fontId="4" fillId="0" borderId="0" xfId="0" applyFont="1" applyAlignment="1">
      <alignment horizontal="right"/>
    </xf>
    <xf numFmtId="164" fontId="0" fillId="0" borderId="0" xfId="1" applyNumberFormat="1" applyFont="1" applyBorder="1"/>
    <xf numFmtId="164" fontId="0" fillId="0" borderId="56" xfId="1" applyNumberFormat="1" applyFont="1" applyBorder="1"/>
    <xf numFmtId="164" fontId="0" fillId="0" borderId="9" xfId="1" applyNumberFormat="1" applyFont="1" applyBorder="1"/>
    <xf numFmtId="164" fontId="0" fillId="0" borderId="9" xfId="0" applyNumberFormat="1" applyBorder="1"/>
    <xf numFmtId="164" fontId="4" fillId="0" borderId="9" xfId="0" applyNumberFormat="1" applyFont="1" applyBorder="1"/>
    <xf numFmtId="164" fontId="4" fillId="0" borderId="57" xfId="0" applyNumberFormat="1" applyFont="1" applyBorder="1"/>
    <xf numFmtId="164" fontId="0" fillId="0" borderId="60" xfId="1" applyNumberFormat="1" applyFont="1" applyBorder="1"/>
    <xf numFmtId="164" fontId="0" fillId="0" borderId="61" xfId="1" applyNumberFormat="1" applyFont="1" applyBorder="1"/>
    <xf numFmtId="164" fontId="0" fillId="0" borderId="57" xfId="1" applyNumberFormat="1" applyFont="1" applyBorder="1"/>
    <xf numFmtId="164" fontId="4" fillId="0" borderId="12" xfId="0" applyNumberFormat="1" applyFont="1" applyBorder="1"/>
    <xf numFmtId="164" fontId="4" fillId="0" borderId="63" xfId="0" applyNumberFormat="1" applyFont="1" applyBorder="1"/>
    <xf numFmtId="164" fontId="0" fillId="0" borderId="55" xfId="1" applyNumberFormat="1" applyFont="1" applyBorder="1"/>
    <xf numFmtId="164" fontId="0" fillId="0" borderId="58" xfId="1" applyNumberFormat="1" applyFont="1" applyBorder="1"/>
    <xf numFmtId="164" fontId="4" fillId="0" borderId="9" xfId="1" applyNumberFormat="1" applyFont="1" applyBorder="1"/>
    <xf numFmtId="164" fontId="4" fillId="0" borderId="57" xfId="1" applyNumberFormat="1" applyFont="1" applyBorder="1"/>
    <xf numFmtId="164" fontId="4" fillId="0" borderId="0" xfId="1" applyNumberFormat="1" applyFont="1" applyBorder="1"/>
    <xf numFmtId="0" fontId="4" fillId="0" borderId="55" xfId="0" applyFont="1" applyBorder="1"/>
    <xf numFmtId="0" fontId="4" fillId="0" borderId="60" xfId="0" applyFont="1" applyBorder="1"/>
    <xf numFmtId="0" fontId="0" fillId="0" borderId="60" xfId="1" applyNumberFormat="1" applyFont="1" applyBorder="1"/>
    <xf numFmtId="0" fontId="0" fillId="0" borderId="59" xfId="0" applyBorder="1"/>
    <xf numFmtId="0" fontId="0" fillId="0" borderId="60" xfId="0" applyBorder="1"/>
    <xf numFmtId="0" fontId="4" fillId="0" borderId="58" xfId="0" applyFont="1" applyBorder="1"/>
    <xf numFmtId="0" fontId="0" fillId="0" borderId="57" xfId="0" applyBorder="1"/>
    <xf numFmtId="0" fontId="0" fillId="0" borderId="56" xfId="0" applyBorder="1"/>
    <xf numFmtId="164" fontId="4" fillId="0" borderId="55" xfId="1" applyNumberFormat="1" applyFont="1" applyBorder="1"/>
    <xf numFmtId="164" fontId="0" fillId="0" borderId="55" xfId="0" applyNumberFormat="1" applyBorder="1"/>
    <xf numFmtId="164" fontId="0" fillId="0" borderId="58" xfId="0" applyNumberFormat="1" applyBorder="1"/>
    <xf numFmtId="164" fontId="4" fillId="0" borderId="59" xfId="1" applyNumberFormat="1" applyFont="1" applyBorder="1"/>
    <xf numFmtId="164" fontId="14" fillId="0" borderId="58" xfId="0" applyNumberFormat="1" applyFont="1" applyBorder="1"/>
    <xf numFmtId="164" fontId="14" fillId="0" borderId="57" xfId="0" applyNumberFormat="1" applyFont="1" applyBorder="1"/>
    <xf numFmtId="164" fontId="0" fillId="0" borderId="47" xfId="0" applyNumberFormat="1" applyBorder="1"/>
    <xf numFmtId="0" fontId="4" fillId="0" borderId="26" xfId="0" applyFont="1" applyBorder="1"/>
    <xf numFmtId="0" fontId="0" fillId="0" borderId="0" xfId="1" applyNumberFormat="1" applyFont="1"/>
    <xf numFmtId="0" fontId="0" fillId="0" borderId="9" xfId="1" applyNumberFormat="1" applyFont="1" applyBorder="1"/>
    <xf numFmtId="0" fontId="0" fillId="0" borderId="56" xfId="1" applyNumberFormat="1" applyFont="1" applyBorder="1"/>
    <xf numFmtId="0" fontId="0" fillId="0" borderId="57" xfId="1" applyNumberFormat="1" applyFont="1" applyBorder="1"/>
    <xf numFmtId="164" fontId="1" fillId="0" borderId="0" xfId="1" applyNumberFormat="1" applyFont="1"/>
    <xf numFmtId="0" fontId="0" fillId="0" borderId="55" xfId="1" applyNumberFormat="1" applyFont="1" applyBorder="1"/>
    <xf numFmtId="0" fontId="6" fillId="0" borderId="6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19" fillId="0" borderId="23" xfId="0" applyFont="1" applyBorder="1" applyAlignment="1">
      <alignment vertical="center" wrapText="1"/>
    </xf>
    <xf numFmtId="165" fontId="20" fillId="0" borderId="66" xfId="0" applyNumberFormat="1" applyFont="1" applyBorder="1" applyAlignment="1">
      <alignment horizontal="center" vertical="center" wrapText="1"/>
    </xf>
    <xf numFmtId="165" fontId="0" fillId="0" borderId="0" xfId="0" applyNumberFormat="1"/>
    <xf numFmtId="165" fontId="20" fillId="0" borderId="66" xfId="0" applyNumberFormat="1" applyFont="1" applyFill="1" applyBorder="1" applyAlignment="1">
      <alignment horizontal="center" vertical="center" wrapText="1"/>
    </xf>
    <xf numFmtId="0" fontId="0" fillId="0" borderId="67" xfId="0" applyBorder="1"/>
    <xf numFmtId="0" fontId="0" fillId="0" borderId="68" xfId="0" applyBorder="1"/>
    <xf numFmtId="0" fontId="0" fillId="0" borderId="69" xfId="0" applyBorder="1"/>
    <xf numFmtId="0" fontId="20" fillId="0" borderId="13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20" fillId="0" borderId="66" xfId="0" applyFont="1" applyBorder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0" fillId="0" borderId="47" xfId="0" applyBorder="1"/>
    <xf numFmtId="0" fontId="0" fillId="4" borderId="57" xfId="0" applyFill="1" applyBorder="1"/>
    <xf numFmtId="0" fontId="0" fillId="0" borderId="0" xfId="0" applyFill="1" applyBorder="1"/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5" fillId="0" borderId="67" xfId="0" applyFont="1" applyBorder="1" applyAlignment="1">
      <alignment vertical="center" wrapText="1"/>
    </xf>
    <xf numFmtId="0" fontId="25" fillId="0" borderId="67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10" fontId="0" fillId="0" borderId="0" xfId="0" applyNumberFormat="1"/>
    <xf numFmtId="9" fontId="0" fillId="0" borderId="0" xfId="0" applyNumberFormat="1"/>
    <xf numFmtId="0" fontId="25" fillId="0" borderId="59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49" fontId="26" fillId="0" borderId="33" xfId="0" applyNumberFormat="1" applyFont="1" applyBorder="1" applyAlignment="1">
      <alignment vertical="center" wrapText="1"/>
    </xf>
    <xf numFmtId="0" fontId="25" fillId="0" borderId="33" xfId="0" applyFont="1" applyBorder="1" applyAlignment="1">
      <alignment vertical="center" wrapText="1"/>
    </xf>
    <xf numFmtId="0" fontId="25" fillId="0" borderId="71" xfId="0" applyFont="1" applyBorder="1" applyAlignment="1">
      <alignment vertical="center" wrapText="1"/>
    </xf>
    <xf numFmtId="0" fontId="25" fillId="0" borderId="55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72" xfId="0" applyFont="1" applyBorder="1" applyAlignment="1">
      <alignment vertical="center" wrapText="1"/>
    </xf>
    <xf numFmtId="0" fontId="25" fillId="0" borderId="56" xfId="0" applyFont="1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0" fontId="25" fillId="0" borderId="57" xfId="0" applyFont="1" applyBorder="1" applyAlignment="1">
      <alignment vertical="center" wrapText="1"/>
    </xf>
    <xf numFmtId="0" fontId="25" fillId="10" borderId="59" xfId="0" applyFont="1" applyFill="1" applyBorder="1" applyAlignment="1">
      <alignment vertical="center" wrapText="1"/>
    </xf>
    <xf numFmtId="49" fontId="25" fillId="10" borderId="26" xfId="0" applyNumberFormat="1" applyFont="1" applyFill="1" applyBorder="1" applyAlignment="1">
      <alignment vertical="center" wrapText="1"/>
    </xf>
    <xf numFmtId="0" fontId="25" fillId="10" borderId="58" xfId="0" applyFont="1" applyFill="1" applyBorder="1" applyAlignment="1">
      <alignment vertical="center" wrapText="1"/>
    </xf>
    <xf numFmtId="49" fontId="25" fillId="10" borderId="47" xfId="0" applyNumberFormat="1" applyFont="1" applyFill="1" applyBorder="1" applyAlignment="1">
      <alignment vertical="center" wrapText="1"/>
    </xf>
    <xf numFmtId="0" fontId="25" fillId="10" borderId="33" xfId="0" applyFont="1" applyFill="1" applyBorder="1" applyAlignment="1">
      <alignment vertical="center" wrapText="1"/>
    </xf>
    <xf numFmtId="0" fontId="25" fillId="10" borderId="47" xfId="0" applyFont="1" applyFill="1" applyBorder="1" applyAlignment="1">
      <alignment vertical="center" wrapText="1"/>
    </xf>
    <xf numFmtId="0" fontId="25" fillId="10" borderId="70" xfId="0" applyFont="1" applyFill="1" applyBorder="1" applyAlignment="1">
      <alignment vertical="center" wrapText="1"/>
    </xf>
    <xf numFmtId="0" fontId="26" fillId="10" borderId="26" xfId="0" applyFont="1" applyFill="1" applyBorder="1" applyAlignment="1">
      <alignment vertical="center" wrapText="1"/>
    </xf>
    <xf numFmtId="0" fontId="27" fillId="11" borderId="0" xfId="0" applyFont="1" applyFill="1"/>
    <xf numFmtId="0" fontId="25" fillId="0" borderId="60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20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20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0" fillId="12" borderId="0" xfId="0" applyFill="1"/>
    <xf numFmtId="0" fontId="0" fillId="4" borderId="58" xfId="0" applyFill="1" applyBorder="1"/>
    <xf numFmtId="0" fontId="0" fillId="4" borderId="55" xfId="0" applyFill="1" applyBorder="1" applyAlignment="1">
      <alignment horizontal="left" vertical="center"/>
    </xf>
    <xf numFmtId="0" fontId="0" fillId="4" borderId="58" xfId="0" applyFill="1" applyBorder="1" applyAlignment="1">
      <alignment horizontal="left" vertical="center"/>
    </xf>
    <xf numFmtId="0" fontId="0" fillId="12" borderId="33" xfId="0" applyFill="1" applyBorder="1"/>
  </cellXfs>
  <cellStyles count="10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Normal" xfId="0" builtinId="0"/>
    <cellStyle name="Percent" xfId="1" builtinId="5"/>
  </cellStyles>
  <dxfs count="8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righ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righ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/>
    </dxf>
    <dxf>
      <alignment horizontal="right"/>
    </dxf>
    <dxf>
      <alignment horizontal="right" readingOrder="0"/>
    </dxf>
    <dxf>
      <alignment horizontal="right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6" tint="-0.249977111117893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6" tint="-0.249977111117893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6" tint="-0.249977111117893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6" tint="-0.249977111117893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6" tint="-0.249977111117893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6" tint="-0.249977111117893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6" tint="-0.249977111117893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6" tint="-0.249977111117893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6" tint="-0.249977111117893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6" tint="-0.249977111117893"/>
        <name val="Calibri"/>
        <scheme val="minor"/>
      </font>
      <numFmt numFmtId="0" formatCode="General"/>
      <fill>
        <patternFill patternType="solid">
          <fgColor theme="6" tint="0.79998168889431442"/>
          <bgColor theme="6" tint="0.7999816888943144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6" tint="-0.249977111117893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6" tint="-0.249977111117893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6" tint="-0.249977111117893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6" tint="-0.249977111117893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 style="medium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6" tint="-0.249977111117893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6" tint="-0.249977111117893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6" tint="-0.249977111117893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6" tint="-0.249977111117893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alignment horizontal="center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6" tint="-0.249977111117893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6" tint="-0.249977111117893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6" tint="-0.249977111117893"/>
        <name val="Calibri"/>
        <scheme val="minor"/>
      </font>
      <numFmt numFmtId="0" formatCode="General"/>
      <fill>
        <patternFill patternType="solid">
          <fgColor theme="6" tint="0.79998168889431442"/>
          <bgColor theme="6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6" tint="-0.249977111117893"/>
        <name val="Calibri"/>
        <scheme val="minor"/>
      </font>
      <numFmt numFmtId="0" formatCode="General"/>
      <fill>
        <patternFill patternType="solid">
          <fgColor theme="6" tint="0.79998168889431442"/>
          <bgColor theme="6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6" tint="-0.249977111117893"/>
        <name val="Calibri"/>
        <scheme val="minor"/>
      </font>
      <numFmt numFmtId="0" formatCode="General"/>
      <fill>
        <patternFill patternType="solid">
          <fgColor theme="6" tint="0.79998168889431442"/>
          <bgColor theme="6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6" tint="-0.249977111117893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6" tint="-0.249977111117893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6" tint="-0.249977111117893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6" tint="-0.249977111117893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6" tint="-0.249977111117893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6" tint="-0.249977111117893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6" tint="-0.249977111117893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6" tint="-0.249977111117893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6" tint="-0.249977111117893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6" tint="-0.249977111117893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6" tint="-0.249977111117893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border diagonalUp="0" diagonalDown="0">
        <left/>
        <right style="medium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6" tint="-0.249977111117893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theme="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6" tint="-0.249977111117893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3032.676568171293" createdVersion="4" refreshedVersion="4" minRefreshableVersion="3" recordCount="474" xr:uid="{00000000-000A-0000-FFFF-FFFF11000000}">
  <cacheSource type="worksheet">
    <worksheetSource ref="A1:R1048576" sheet="data"/>
  </cacheSource>
  <cacheFields count="15">
    <cacheField name="no" numFmtId="0">
      <sharedItems containsBlank="1" containsMixedTypes="1" containsNumber="1" containsInteger="1" minValue="1" maxValue="472"/>
    </cacheField>
    <cacheField name="R vs. nR" numFmtId="0">
      <sharedItems containsBlank="1" count="8">
        <s v="type_nR"/>
        <s v="L1"/>
        <s v="H1"/>
        <s v="L5"/>
        <s v="M1"/>
        <s v="H5"/>
        <s v="M5"/>
        <m/>
      </sharedItems>
    </cacheField>
    <cacheField name="nR jest po Prawej/Lewej" numFmtId="0">
      <sharedItems containsBlank="1"/>
    </cacheField>
    <cacheField name="dostanie 50gr/1zł ?" numFmtId="0">
      <sharedItems containsBlank="1" containsMixedTypes="1" containsNumber="1" containsInteger="1" minValue="1" maxValue="50" count="4">
        <s v="price_difference"/>
        <n v="50"/>
        <n v="1"/>
        <m/>
      </sharedItems>
    </cacheField>
    <cacheField name="sex (K/M)" numFmtId="0">
      <sharedItems containsBlank="1" count="4">
        <s v="sex"/>
        <s v="M"/>
        <s v="K"/>
        <m/>
      </sharedItems>
    </cacheField>
    <cacheField name="age" numFmtId="0">
      <sharedItems containsBlank="1" containsMixedTypes="1" containsNumber="1" containsInteger="1" minValue="9" maxValue="86"/>
    </cacheField>
    <cacheField name="wybrał R/nR?" numFmtId="0">
      <sharedItems containsBlank="1" count="9">
        <s v="choice"/>
        <s v="R"/>
        <s v="H5"/>
        <s v="M5"/>
        <s v="M1"/>
        <s v="H1"/>
        <s v="L5"/>
        <s v="L1"/>
        <m/>
      </sharedItems>
    </cacheField>
    <cacheField name="wziął 50gr/1zł?" numFmtId="0">
      <sharedItems containsBlank="1" count="4">
        <s v="switch"/>
        <s v="NIE"/>
        <s v="TAK"/>
        <m/>
      </sharedItems>
    </cacheField>
    <cacheField name="ostatecznie ma R/nR?" numFmtId="0">
      <sharedItems containsBlank="1"/>
    </cacheField>
    <cacheField name="3x orzeł (H)/reszka (T)?" numFmtId="0">
      <sharedItems containsBlank="1"/>
    </cacheField>
    <cacheField name="to za 4tym: H/T/B/0" numFmtId="0">
      <sharedItems containsBlank="1" containsMixedTypes="1" containsNumber="1" containsInteger="1" minValue="0" maxValue="0"/>
    </cacheField>
    <cacheField name="data" numFmtId="0">
      <sharedItems containsBlank="1"/>
    </cacheField>
    <cacheField name="14/21" numFmtId="0">
      <sharedItems containsBlank="1" containsMixedTypes="1" containsNumber="1" containsInteger="1" minValue="14" maxValue="21"/>
    </cacheField>
    <cacheField name="miejsce" numFmtId="0">
      <sharedItems containsBlank="1"/>
    </cacheField>
    <cacheField name="ankieter" numFmtId="0">
      <sharedItems containsBlank="1" count="4">
        <s v="experimenter"/>
        <s v="A"/>
        <s v="K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3032.731075462965" createdVersion="4" refreshedVersion="4" minRefreshableVersion="3" recordCount="473" xr:uid="{00000000-000A-0000-FFFF-FFFF12000000}">
  <cacheSource type="worksheet">
    <worksheetSource name="DataTable"/>
  </cacheSource>
  <cacheFields count="30">
    <cacheField name="no" numFmtId="0">
      <sharedItems containsMixedTypes="1" containsNumber="1" containsInteger="1" minValue="1" maxValue="472"/>
    </cacheField>
    <cacheField name="R vs. nR" numFmtId="0">
      <sharedItems count="7">
        <s v="type_nR"/>
        <s v="L1"/>
        <s v="H1"/>
        <s v="L5"/>
        <s v="M1"/>
        <s v="H5"/>
        <s v="M5"/>
      </sharedItems>
    </cacheField>
    <cacheField name="nR jest po Prawej/Lewej" numFmtId="0">
      <sharedItems count="3">
        <s v="nR_side"/>
        <s v="P"/>
        <s v="L"/>
      </sharedItems>
    </cacheField>
    <cacheField name="dostanie 50gr/1zł ?" numFmtId="0">
      <sharedItems containsMixedTypes="1" containsNumber="1" containsInteger="1" minValue="1" maxValue="50" count="3">
        <s v="price_difference"/>
        <n v="50"/>
        <n v="1"/>
      </sharedItems>
    </cacheField>
    <cacheField name="sex (K/M)" numFmtId="0">
      <sharedItems count="3">
        <s v="sex"/>
        <s v="M"/>
        <s v="K"/>
      </sharedItems>
    </cacheField>
    <cacheField name="age" numFmtId="0">
      <sharedItems containsMixedTypes="1" containsNumber="1" containsInteger="1" minValue="9" maxValue="86"/>
    </cacheField>
    <cacheField name="wybrał R/nR?" numFmtId="0">
      <sharedItems count="8">
        <s v="choice"/>
        <s v="R"/>
        <s v="H5"/>
        <s v="M5"/>
        <s v="M1"/>
        <s v="H1"/>
        <s v="L5"/>
        <s v="L1"/>
      </sharedItems>
    </cacheField>
    <cacheField name="wziął 50gr/1zł?" numFmtId="0">
      <sharedItems containsBlank="1" count="4">
        <s v="switch"/>
        <s v="NIE"/>
        <s v="TAK"/>
        <m u="1"/>
      </sharedItems>
    </cacheField>
    <cacheField name="ostatecznie ma R/nR?" numFmtId="0">
      <sharedItems count="8">
        <s v="choice_post_switch"/>
        <s v="R"/>
        <s v="L5"/>
        <s v="L1"/>
        <s v="M1"/>
        <s v="M5"/>
        <s v="H1"/>
        <s v="H5"/>
      </sharedItems>
    </cacheField>
    <cacheField name="3x orzeł (H)/reszka (T)?" numFmtId="0">
      <sharedItems count="3">
        <s v="three_tosses"/>
        <s v="T"/>
        <s v="H"/>
      </sharedItems>
    </cacheField>
    <cacheField name="to za 4tym: H/T/B/0" numFmtId="0">
      <sharedItems containsMixedTypes="1" containsNumber="1" containsInteger="1" minValue="0" maxValue="0" count="5">
        <s v="forecast"/>
        <s v="B"/>
        <n v="0"/>
        <s v="T"/>
        <s v="H"/>
      </sharedItems>
    </cacheField>
    <cacheField name="data" numFmtId="0">
      <sharedItems/>
    </cacheField>
    <cacheField name="14/21" numFmtId="0">
      <sharedItems containsMixedTypes="1" containsNumber="1" containsInteger="1" minValue="14" maxValue="21" count="3">
        <s v="drawing_hour"/>
        <n v="14"/>
        <n v="21"/>
      </sharedItems>
    </cacheField>
    <cacheField name="miejsce" numFmtId="0">
      <sharedItems containsBlank="1" count="19">
        <s v="location"/>
        <s v="m.Swieto"/>
        <s v="m.Centrum"/>
        <s v="RondoDeG"/>
        <s v="Zel/Soli"/>
        <s v="dw.Centralny"/>
        <s v="ZloteTarasy"/>
        <s v="KomplSport"/>
        <s v="biurowiec"/>
        <s v="bazarek"/>
        <m u="1"/>
        <s v="ZloteTar" u="1"/>
        <s v="Żelazna/Solidarności" u="1"/>
        <s v="bazarek m.Wilanowska" u="1"/>
        <s v="kompleks sportowy Ursynów" u="1"/>
        <s v="biurowiec m.Wilanowska" u="1"/>
        <s v="Rondo de Gaulle'a" u="1"/>
        <s v="m.Świetokrzyska" u="1"/>
        <s v="Złote Tarasy" u="1"/>
      </sharedItems>
    </cacheField>
    <cacheField name="ankieter" numFmtId="0">
      <sharedItems count="4">
        <s v="experimenter"/>
        <s v="A"/>
        <s v="K"/>
        <s v="B" u="1"/>
      </sharedItems>
    </cacheField>
    <cacheField name="czy gra?" numFmtId="0">
      <sharedItems containsBlank="1"/>
    </cacheField>
    <cacheField name="czy gra code" numFmtId="0">
      <sharedItems containsMixedTypes="1" containsNumber="1" containsInteger="1" minValue="1" maxValue="5"/>
    </cacheField>
    <cacheField name="czy gra?_full" numFmtId="0">
      <sharedItems containsMixedTypes="1" containsNumber="1" containsInteger="1" minValue="0" maxValue="0"/>
    </cacheField>
    <cacheField name="explanation1 for G" numFmtId="0">
      <sharedItems count="13">
        <s v="explanation1"/>
        <s v="BL"/>
        <s v="BR"/>
        <s v="O"/>
        <s v="WJ"/>
        <s v="U"/>
        <s v="LS"/>
        <s v="?"/>
        <s v="WP"/>
        <s v="WP "/>
        <s v="TP"/>
        <s v="BLB" u="1"/>
        <s v="R" u="1"/>
      </sharedItems>
    </cacheField>
    <cacheField name="explanation2 for G" numFmtId="0">
      <sharedItems containsBlank="1" count="10">
        <s v="explanation2"/>
        <s v="TP"/>
        <s v="BR"/>
        <m/>
        <s v="WP"/>
        <s v="U"/>
        <s v="LS"/>
        <s v="BL"/>
        <s v="O"/>
        <s v="WJ"/>
      </sharedItems>
    </cacheField>
    <cacheField name="which U?" numFmtId="0">
      <sharedItems containsBlank="1" containsMixedTypes="1" containsNumber="1" containsInteger="1" minValue="1" maxValue="13"/>
    </cacheField>
    <cacheField name="BL" numFmtId="0">
      <sharedItems containsMixedTypes="1" containsNumber="1" containsInteger="1" minValue="0" maxValue="1"/>
    </cacheField>
    <cacheField name="WJ" numFmtId="0">
      <sharedItems containsMixedTypes="1" containsNumber="1" containsInteger="1" minValue="0" maxValue="1"/>
    </cacheField>
    <cacheField name="U" numFmtId="0">
      <sharedItems containsMixedTypes="1" containsNumber="1" containsInteger="1" minValue="0" maxValue="1"/>
    </cacheField>
    <cacheField name="O" numFmtId="0">
      <sharedItems containsMixedTypes="1" containsNumber="1" containsInteger="1" minValue="0" maxValue="1"/>
    </cacheField>
    <cacheField name="TP" numFmtId="0">
      <sharedItems containsMixedTypes="1" containsNumber="1" containsInteger="1" minValue="0" maxValue="1"/>
    </cacheField>
    <cacheField name="WP" numFmtId="0">
      <sharedItems containsMixedTypes="1" containsNumber="1" containsInteger="1" minValue="0" maxValue="1"/>
    </cacheField>
    <cacheField name="BR" numFmtId="0">
      <sharedItems containsMixedTypes="1" containsNumber="1" containsInteger="1" minValue="0" maxValue="1"/>
    </cacheField>
    <cacheField name="LS" numFmtId="0">
      <sharedItems containsMixedTypes="1" containsNumber="1" containsInteger="1" minValue="0" maxValue="1"/>
    </cacheField>
    <cacheField name="explanation_full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3034.56681851852" createdVersion="4" refreshedVersion="4" minRefreshableVersion="3" recordCount="474" xr:uid="{00000000-000A-0000-FFFF-FFFF13000000}">
  <cacheSource type="worksheet">
    <worksheetSource ref="A1:K1048576" sheet="data"/>
  </cacheSource>
  <cacheFields count="11">
    <cacheField name="no" numFmtId="0">
      <sharedItems containsBlank="1" containsMixedTypes="1" containsNumber="1" containsInteger="1" minValue="1" maxValue="472"/>
    </cacheField>
    <cacheField name="R vs. nR" numFmtId="0">
      <sharedItems containsBlank="1"/>
    </cacheField>
    <cacheField name="nR jest po Prawej/Lewej" numFmtId="0">
      <sharedItems containsBlank="1"/>
    </cacheField>
    <cacheField name="dostanie 50gr/1zł ?" numFmtId="0">
      <sharedItems containsBlank="1" containsMixedTypes="1" containsNumber="1" containsInteger="1" minValue="1" maxValue="50"/>
    </cacheField>
    <cacheField name="sex (K/M)" numFmtId="0">
      <sharedItems containsBlank="1"/>
    </cacheField>
    <cacheField name="age" numFmtId="0">
      <sharedItems containsBlank="1" containsMixedTypes="1" containsNumber="1" containsInteger="1" minValue="9" maxValue="86"/>
    </cacheField>
    <cacheField name="wybrał R/nR?" numFmtId="0">
      <sharedItems containsBlank="1" count="9">
        <s v="choice"/>
        <s v="R"/>
        <s v="H5"/>
        <s v="M5"/>
        <s v="M1"/>
        <s v="H1"/>
        <s v="L5"/>
        <s v="L1"/>
        <m/>
      </sharedItems>
    </cacheField>
    <cacheField name="wziął 50gr/1zł?" numFmtId="0">
      <sharedItems containsBlank="1" count="4">
        <s v="switch"/>
        <s v="NIE"/>
        <s v="TAK"/>
        <m/>
      </sharedItems>
    </cacheField>
    <cacheField name="ostatecznie ma R/nR?" numFmtId="0">
      <sharedItems containsBlank="1"/>
    </cacheField>
    <cacheField name="3x orzeł (H)/reszka (T)?" numFmtId="0">
      <sharedItems containsBlank="1" count="4">
        <s v="three_tosses"/>
        <s v="T"/>
        <s v="H"/>
        <m/>
      </sharedItems>
    </cacheField>
    <cacheField name="to za 4tym: H/T/B/0" numFmtId="0">
      <sharedItems containsBlank="1" containsMixedTypes="1" containsNumber="1" containsInteger="1" minValue="0" maxValue="0" count="6">
        <s v="forecast"/>
        <s v="B"/>
        <n v="0"/>
        <s v="T"/>
        <s v="H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4">
  <r>
    <s v="id"/>
    <x v="0"/>
    <s v="nR_side"/>
    <x v="0"/>
    <x v="0"/>
    <s v="age"/>
    <x v="0"/>
    <x v="0"/>
    <s v="choice_post_switch"/>
    <s v="three_tosses"/>
    <s v="forecast"/>
    <s v="date"/>
    <s v="drawing_hour"/>
    <s v="location"/>
    <x v="0"/>
  </r>
  <r>
    <n v="1"/>
    <x v="1"/>
    <s v="P"/>
    <x v="1"/>
    <x v="1"/>
    <n v="22"/>
    <x v="1"/>
    <x v="1"/>
    <s v="R"/>
    <s v="T"/>
    <s v="B"/>
    <s v="07.08.17"/>
    <n v="14"/>
    <s v="m.Swieto"/>
    <x v="1"/>
  </r>
  <r>
    <n v="2"/>
    <x v="2"/>
    <s v="P"/>
    <x v="1"/>
    <x v="2"/>
    <n v="24"/>
    <x v="1"/>
    <x v="1"/>
    <s v="R"/>
    <s v="T"/>
    <s v="B"/>
    <s v="07.08.17"/>
    <n v="14"/>
    <s v="m.Swieto"/>
    <x v="1"/>
  </r>
  <r>
    <n v="3"/>
    <x v="3"/>
    <s v="P"/>
    <x v="1"/>
    <x v="2"/>
    <n v="21"/>
    <x v="1"/>
    <x v="1"/>
    <s v="R"/>
    <s v="T"/>
    <s v="B"/>
    <s v="07.08.17"/>
    <n v="14"/>
    <s v="m.Swieto"/>
    <x v="1"/>
  </r>
  <r>
    <n v="4"/>
    <x v="4"/>
    <s v="P"/>
    <x v="1"/>
    <x v="1"/>
    <n v="23"/>
    <x v="1"/>
    <x v="1"/>
    <s v="R"/>
    <s v="T"/>
    <n v="0"/>
    <s v="07.08.17"/>
    <n v="14"/>
    <s v="m.Swieto"/>
    <x v="1"/>
  </r>
  <r>
    <n v="5"/>
    <x v="5"/>
    <s v="P"/>
    <x v="1"/>
    <x v="1"/>
    <n v="42"/>
    <x v="1"/>
    <x v="1"/>
    <s v="R"/>
    <s v="T"/>
    <s v="B"/>
    <s v="07.08.17"/>
    <n v="14"/>
    <s v="m.Swieto"/>
    <x v="1"/>
  </r>
  <r>
    <n v="6"/>
    <x v="6"/>
    <s v="P"/>
    <x v="1"/>
    <x v="2"/>
    <n v="28"/>
    <x v="1"/>
    <x v="1"/>
    <s v="R"/>
    <s v="T"/>
    <s v="B"/>
    <s v="07.08.17"/>
    <n v="14"/>
    <s v="m.Centrum"/>
    <x v="1"/>
  </r>
  <r>
    <n v="7"/>
    <x v="1"/>
    <s v="L"/>
    <x v="1"/>
    <x v="2"/>
    <n v="57"/>
    <x v="1"/>
    <x v="1"/>
    <s v="R"/>
    <s v="T"/>
    <s v="T"/>
    <s v="07.08.17"/>
    <n v="14"/>
    <s v="m.Centrum"/>
    <x v="1"/>
  </r>
  <r>
    <n v="8"/>
    <x v="2"/>
    <s v="L"/>
    <x v="1"/>
    <x v="2"/>
    <n v="25"/>
    <x v="1"/>
    <x v="1"/>
    <s v="R"/>
    <s v="T"/>
    <s v="H"/>
    <s v="07.08.17"/>
    <n v="14"/>
    <s v="m.Centrum"/>
    <x v="1"/>
  </r>
  <r>
    <n v="9"/>
    <x v="4"/>
    <s v="L"/>
    <x v="1"/>
    <x v="1"/>
    <n v="24"/>
    <x v="1"/>
    <x v="1"/>
    <s v="R"/>
    <s v="T"/>
    <s v="B"/>
    <s v="07.08.17"/>
    <n v="14"/>
    <s v="m.Centrum"/>
    <x v="1"/>
  </r>
  <r>
    <n v="10"/>
    <x v="3"/>
    <s v="L"/>
    <x v="1"/>
    <x v="1"/>
    <n v="24"/>
    <x v="1"/>
    <x v="2"/>
    <s v="L5"/>
    <s v="T"/>
    <s v="B"/>
    <s v="07.08.17"/>
    <n v="14"/>
    <s v="m.Centrum"/>
    <x v="1"/>
  </r>
  <r>
    <n v="11"/>
    <x v="5"/>
    <s v="L"/>
    <x v="1"/>
    <x v="1"/>
    <n v="26"/>
    <x v="2"/>
    <x v="2"/>
    <s v="R"/>
    <s v="T"/>
    <s v="B"/>
    <s v="07.08.17"/>
    <n v="21"/>
    <s v="RondoDeG"/>
    <x v="1"/>
  </r>
  <r>
    <n v="12"/>
    <x v="6"/>
    <s v="L"/>
    <x v="1"/>
    <x v="1"/>
    <n v="26"/>
    <x v="1"/>
    <x v="1"/>
    <s v="R"/>
    <s v="T"/>
    <s v="T"/>
    <s v="07.08.17"/>
    <n v="21"/>
    <s v="RondoDeG"/>
    <x v="1"/>
  </r>
  <r>
    <n v="13"/>
    <x v="1"/>
    <s v="P"/>
    <x v="2"/>
    <x v="2"/>
    <n v="26"/>
    <x v="1"/>
    <x v="2"/>
    <s v="L1"/>
    <s v="H"/>
    <s v="B"/>
    <s v="07.08.17"/>
    <n v="14"/>
    <s v="m.Centrum"/>
    <x v="1"/>
  </r>
  <r>
    <n v="14"/>
    <x v="2"/>
    <s v="P"/>
    <x v="2"/>
    <x v="1"/>
    <n v="25"/>
    <x v="1"/>
    <x v="1"/>
    <s v="R"/>
    <s v="H"/>
    <s v="B"/>
    <s v="07.08.17"/>
    <n v="14"/>
    <s v="m.Centrum"/>
    <x v="1"/>
  </r>
  <r>
    <n v="15"/>
    <x v="4"/>
    <s v="P"/>
    <x v="2"/>
    <x v="1"/>
    <n v="30"/>
    <x v="1"/>
    <x v="2"/>
    <s v="M1"/>
    <s v="H"/>
    <s v="B"/>
    <s v="07.08.17"/>
    <n v="21"/>
    <s v="RondoDeG"/>
    <x v="1"/>
  </r>
  <r>
    <n v="16"/>
    <x v="5"/>
    <s v="P"/>
    <x v="2"/>
    <x v="1"/>
    <n v="24"/>
    <x v="2"/>
    <x v="2"/>
    <s v="R"/>
    <s v="H"/>
    <s v="B"/>
    <s v="07.08.17"/>
    <n v="21"/>
    <s v="RondoDeG"/>
    <x v="1"/>
  </r>
  <r>
    <n v="17"/>
    <x v="6"/>
    <s v="P"/>
    <x v="2"/>
    <x v="1"/>
    <n v="22"/>
    <x v="3"/>
    <x v="1"/>
    <s v="M5"/>
    <s v="H"/>
    <s v="B"/>
    <s v="07.08.17"/>
    <n v="21"/>
    <s v="RondoDeG"/>
    <x v="1"/>
  </r>
  <r>
    <n v="18"/>
    <x v="2"/>
    <s v="L"/>
    <x v="2"/>
    <x v="1"/>
    <n v="21"/>
    <x v="1"/>
    <x v="2"/>
    <s v="H1"/>
    <s v="H"/>
    <s v="B"/>
    <s v="07.08.17"/>
    <n v="21"/>
    <s v="RondoDeG"/>
    <x v="1"/>
  </r>
  <r>
    <n v="19"/>
    <x v="5"/>
    <s v="L"/>
    <x v="2"/>
    <x v="1"/>
    <n v="23"/>
    <x v="2"/>
    <x v="1"/>
    <s v="H5"/>
    <s v="H"/>
    <s v="H"/>
    <s v="07.08.17"/>
    <n v="21"/>
    <s v="RondoDeG"/>
    <x v="1"/>
  </r>
  <r>
    <n v="20"/>
    <x v="1"/>
    <s v="P"/>
    <x v="2"/>
    <x v="2"/>
    <n v="25"/>
    <x v="1"/>
    <x v="2"/>
    <s v="L1"/>
    <s v="H"/>
    <s v="B"/>
    <s v="07.08.17"/>
    <n v="21"/>
    <s v="RondoDeG"/>
    <x v="1"/>
  </r>
  <r>
    <n v="21"/>
    <x v="3"/>
    <s v="P"/>
    <x v="2"/>
    <x v="2"/>
    <n v="24"/>
    <x v="1"/>
    <x v="1"/>
    <s v="R"/>
    <s v="T"/>
    <s v="B"/>
    <s v="07.08.17"/>
    <n v="21"/>
    <s v="RondoDeG"/>
    <x v="1"/>
  </r>
  <r>
    <n v="22"/>
    <x v="3"/>
    <s v="P"/>
    <x v="1"/>
    <x v="2"/>
    <n v="26"/>
    <x v="1"/>
    <x v="1"/>
    <s v="R"/>
    <s v="T"/>
    <s v="B"/>
    <s v="07.08.17"/>
    <n v="21"/>
    <s v="RondoDeG"/>
    <x v="1"/>
  </r>
  <r>
    <n v="23"/>
    <x v="3"/>
    <s v="P"/>
    <x v="1"/>
    <x v="2"/>
    <n v="25"/>
    <x v="1"/>
    <x v="1"/>
    <s v="R"/>
    <s v="T"/>
    <s v="B"/>
    <s v="07.08.17"/>
    <n v="21"/>
    <s v="RondoDeG"/>
    <x v="1"/>
  </r>
  <r>
    <n v="24"/>
    <x v="3"/>
    <s v="P"/>
    <x v="1"/>
    <x v="1"/>
    <n v="26"/>
    <x v="1"/>
    <x v="1"/>
    <s v="R"/>
    <s v="T"/>
    <s v="B"/>
    <s v="07.08.17"/>
    <n v="21"/>
    <s v="RondoDeG"/>
    <x v="1"/>
  </r>
  <r>
    <n v="25"/>
    <x v="3"/>
    <s v="P"/>
    <x v="1"/>
    <x v="2"/>
    <n v="24"/>
    <x v="1"/>
    <x v="1"/>
    <s v="R"/>
    <s v="T"/>
    <s v="B"/>
    <s v="07.08.17"/>
    <n v="21"/>
    <s v="RondoDeG"/>
    <x v="1"/>
  </r>
  <r>
    <n v="26"/>
    <x v="3"/>
    <s v="P"/>
    <x v="2"/>
    <x v="1"/>
    <n v="72"/>
    <x v="1"/>
    <x v="2"/>
    <s v="L5"/>
    <s v="T"/>
    <s v="B"/>
    <s v="08.08.17"/>
    <n v="14"/>
    <s v="Zel/Soli"/>
    <x v="1"/>
  </r>
  <r>
    <n v="27"/>
    <x v="1"/>
    <s v="L"/>
    <x v="2"/>
    <x v="1"/>
    <n v="86"/>
    <x v="1"/>
    <x v="2"/>
    <s v="L1"/>
    <s v="T"/>
    <s v="B"/>
    <s v="08.08.17"/>
    <n v="14"/>
    <s v="Zel/Soli"/>
    <x v="1"/>
  </r>
  <r>
    <n v="28"/>
    <x v="4"/>
    <s v="L"/>
    <x v="2"/>
    <x v="2"/>
    <n v="47"/>
    <x v="4"/>
    <x v="1"/>
    <s v="M1"/>
    <s v="T"/>
    <s v="T"/>
    <s v="08.08.17"/>
    <n v="14"/>
    <s v="Zel/Soli"/>
    <x v="1"/>
  </r>
  <r>
    <n v="29"/>
    <x v="3"/>
    <s v="L"/>
    <x v="2"/>
    <x v="2"/>
    <n v="64"/>
    <x v="1"/>
    <x v="1"/>
    <s v="R"/>
    <s v="T"/>
    <s v="T"/>
    <s v="08.08.17"/>
    <n v="14"/>
    <s v="Zel/Soli"/>
    <x v="1"/>
  </r>
  <r>
    <n v="30"/>
    <x v="6"/>
    <s v="L"/>
    <x v="2"/>
    <x v="1"/>
    <n v="68"/>
    <x v="1"/>
    <x v="1"/>
    <s v="R"/>
    <s v="T"/>
    <s v="H"/>
    <s v="08.08.17"/>
    <n v="14"/>
    <s v="Zel/Soli"/>
    <x v="1"/>
  </r>
  <r>
    <n v="31"/>
    <x v="1"/>
    <s v="P"/>
    <x v="1"/>
    <x v="1"/>
    <n v="44"/>
    <x v="1"/>
    <x v="1"/>
    <s v="R"/>
    <s v="T"/>
    <n v="0"/>
    <s v="08.08.17"/>
    <n v="14"/>
    <s v="Zel/Soli"/>
    <x v="1"/>
  </r>
  <r>
    <n v="32"/>
    <x v="2"/>
    <s v="P"/>
    <x v="1"/>
    <x v="1"/>
    <n v="83"/>
    <x v="1"/>
    <x v="1"/>
    <s v="R"/>
    <s v="T"/>
    <s v="B"/>
    <s v="08.08.17"/>
    <n v="14"/>
    <s v="Zel/Soli"/>
    <x v="1"/>
  </r>
  <r>
    <n v="33"/>
    <x v="4"/>
    <s v="P"/>
    <x v="1"/>
    <x v="2"/>
    <n v="61"/>
    <x v="1"/>
    <x v="1"/>
    <s v="R"/>
    <s v="T"/>
    <s v="T"/>
    <s v="08.08.17"/>
    <n v="14"/>
    <s v="Zel/Soli"/>
    <x v="1"/>
  </r>
  <r>
    <n v="34"/>
    <x v="5"/>
    <s v="P"/>
    <x v="1"/>
    <x v="1"/>
    <n v="20"/>
    <x v="1"/>
    <x v="1"/>
    <s v="R"/>
    <s v="T"/>
    <s v="T"/>
    <s v="08.08.17"/>
    <n v="14"/>
    <s v="dw.Centralny"/>
    <x v="1"/>
  </r>
  <r>
    <n v="35"/>
    <x v="6"/>
    <s v="L"/>
    <x v="1"/>
    <x v="2"/>
    <n v="19"/>
    <x v="1"/>
    <x v="1"/>
    <s v="R"/>
    <s v="T"/>
    <s v="B"/>
    <s v="08.08.17"/>
    <n v="14"/>
    <s v="dw.Centralny"/>
    <x v="1"/>
  </r>
  <r>
    <n v="36"/>
    <x v="1"/>
    <s v="P"/>
    <x v="1"/>
    <x v="1"/>
    <n v="52"/>
    <x v="1"/>
    <x v="1"/>
    <s v="R"/>
    <s v="T"/>
    <s v="T"/>
    <s v="08.08.17"/>
    <n v="14"/>
    <s v="dw.Centralny"/>
    <x v="1"/>
  </r>
  <r>
    <n v="37"/>
    <x v="5"/>
    <s v="P"/>
    <x v="1"/>
    <x v="1"/>
    <n v="25"/>
    <x v="1"/>
    <x v="1"/>
    <s v="R"/>
    <s v="T"/>
    <s v="H"/>
    <s v="08.08.17"/>
    <n v="14"/>
    <s v="dw.Centralny"/>
    <x v="1"/>
  </r>
  <r>
    <n v="38"/>
    <x v="6"/>
    <s v="P"/>
    <x v="1"/>
    <x v="1"/>
    <n v="37"/>
    <x v="1"/>
    <x v="1"/>
    <s v="R"/>
    <s v="T"/>
    <s v="T"/>
    <s v="08.08.17"/>
    <n v="14"/>
    <s v="dw.Centralny"/>
    <x v="1"/>
  </r>
  <r>
    <n v="39"/>
    <x v="1"/>
    <s v="L"/>
    <x v="1"/>
    <x v="2"/>
    <n v="84"/>
    <x v="1"/>
    <x v="1"/>
    <s v="R"/>
    <s v="T"/>
    <s v="T"/>
    <s v="08.08.17"/>
    <n v="14"/>
    <s v="dw.Centralny"/>
    <x v="1"/>
  </r>
  <r>
    <n v="40"/>
    <x v="2"/>
    <s v="L"/>
    <x v="1"/>
    <x v="2"/>
    <n v="73"/>
    <x v="1"/>
    <x v="2"/>
    <s v="H1"/>
    <s v="T"/>
    <s v="T"/>
    <s v="08.08.17"/>
    <n v="14"/>
    <s v="dw.Centralny"/>
    <x v="1"/>
  </r>
  <r>
    <n v="41"/>
    <x v="4"/>
    <s v="L"/>
    <x v="1"/>
    <x v="1"/>
    <n v="46"/>
    <x v="4"/>
    <x v="1"/>
    <s v="M1"/>
    <s v="H"/>
    <s v="B"/>
    <s v="08.08.17"/>
    <n v="14"/>
    <s v="dw.Centralny"/>
    <x v="1"/>
  </r>
  <r>
    <n v="42"/>
    <x v="3"/>
    <s v="L"/>
    <x v="1"/>
    <x v="1"/>
    <n v="9"/>
    <x v="1"/>
    <x v="1"/>
    <s v="R"/>
    <s v="H"/>
    <n v="0"/>
    <s v="08.08.17"/>
    <n v="14"/>
    <s v="dw.Centralny"/>
    <x v="1"/>
  </r>
  <r>
    <n v="43"/>
    <x v="5"/>
    <s v="L"/>
    <x v="1"/>
    <x v="1"/>
    <n v="33"/>
    <x v="1"/>
    <x v="1"/>
    <s v="R"/>
    <s v="H"/>
    <s v="B"/>
    <s v="08.08.17"/>
    <n v="14"/>
    <s v="dw.Centralny"/>
    <x v="1"/>
  </r>
  <r>
    <n v="44"/>
    <x v="6"/>
    <s v="P"/>
    <x v="2"/>
    <x v="2"/>
    <n v="25"/>
    <x v="3"/>
    <x v="1"/>
    <s v="M5"/>
    <s v="T"/>
    <s v="B"/>
    <s v="08.08.17"/>
    <n v="21"/>
    <s v="dw.Centralny"/>
    <x v="1"/>
  </r>
  <r>
    <n v="45"/>
    <x v="5"/>
    <s v="P"/>
    <x v="1"/>
    <x v="2"/>
    <n v="38"/>
    <x v="2"/>
    <x v="1"/>
    <s v="H5"/>
    <s v="T"/>
    <s v="B"/>
    <s v="08.08.17"/>
    <n v="21"/>
    <s v="dw.Centralny"/>
    <x v="1"/>
  </r>
  <r>
    <n v="46"/>
    <x v="1"/>
    <s v="L"/>
    <x v="2"/>
    <x v="1"/>
    <n v="47"/>
    <x v="1"/>
    <x v="1"/>
    <s v="R"/>
    <s v="T"/>
    <s v="H"/>
    <s v="08.08.17"/>
    <n v="21"/>
    <s v="dw.Centralny"/>
    <x v="1"/>
  </r>
  <r>
    <n v="47"/>
    <x v="1"/>
    <s v="L"/>
    <x v="2"/>
    <x v="2"/>
    <n v="37"/>
    <x v="1"/>
    <x v="1"/>
    <s v="R"/>
    <s v="T"/>
    <s v="B"/>
    <s v="08.08.17"/>
    <n v="21"/>
    <s v="dw.Centralny"/>
    <x v="1"/>
  </r>
  <r>
    <n v="48"/>
    <x v="1"/>
    <s v="L"/>
    <x v="2"/>
    <x v="1"/>
    <n v="25"/>
    <x v="1"/>
    <x v="2"/>
    <s v="L1"/>
    <s v="T"/>
    <s v="B"/>
    <s v="08.08.17"/>
    <n v="21"/>
    <s v="dw.Centralny"/>
    <x v="1"/>
  </r>
  <r>
    <n v="49"/>
    <x v="1"/>
    <s v="L"/>
    <x v="2"/>
    <x v="2"/>
    <n v="32"/>
    <x v="1"/>
    <x v="1"/>
    <s v="R"/>
    <s v="T"/>
    <s v="H"/>
    <s v="08.08.17"/>
    <n v="21"/>
    <s v="dw.Centralny"/>
    <x v="1"/>
  </r>
  <r>
    <n v="50"/>
    <x v="3"/>
    <s v="L"/>
    <x v="2"/>
    <x v="2"/>
    <n v="56"/>
    <x v="1"/>
    <x v="1"/>
    <s v="R"/>
    <s v="T"/>
    <s v="H"/>
    <s v="08.08.17"/>
    <n v="21"/>
    <s v="dw.Centralny"/>
    <x v="1"/>
  </r>
  <r>
    <n v="51"/>
    <x v="3"/>
    <s v="L"/>
    <x v="2"/>
    <x v="1"/>
    <n v="27"/>
    <x v="1"/>
    <x v="1"/>
    <s v="R"/>
    <s v="T"/>
    <s v="T"/>
    <s v="08.08.17"/>
    <n v="21"/>
    <s v="dw.Centralny"/>
    <x v="1"/>
  </r>
  <r>
    <n v="52"/>
    <x v="3"/>
    <s v="L"/>
    <x v="2"/>
    <x v="1"/>
    <n v="60"/>
    <x v="1"/>
    <x v="1"/>
    <s v="R"/>
    <s v="T"/>
    <s v="B"/>
    <s v="08.08.17"/>
    <n v="21"/>
    <s v="dw.Centralny"/>
    <x v="1"/>
  </r>
  <r>
    <n v="53"/>
    <x v="3"/>
    <s v="L"/>
    <x v="2"/>
    <x v="1"/>
    <n v="31"/>
    <x v="1"/>
    <x v="2"/>
    <s v="L5"/>
    <s v="T"/>
    <s v="B"/>
    <s v="08.08.17"/>
    <n v="21"/>
    <s v="dw.Centralny"/>
    <x v="1"/>
  </r>
  <r>
    <n v="54"/>
    <x v="6"/>
    <s v="L"/>
    <x v="2"/>
    <x v="1"/>
    <n v="19"/>
    <x v="1"/>
    <x v="1"/>
    <s v="R"/>
    <s v="T"/>
    <s v="H"/>
    <s v="08.08.17"/>
    <n v="21"/>
    <s v="dw.Centralny"/>
    <x v="1"/>
  </r>
  <r>
    <n v="55"/>
    <x v="6"/>
    <s v="L"/>
    <x v="2"/>
    <x v="2"/>
    <n v="17"/>
    <x v="1"/>
    <x v="1"/>
    <s v="R"/>
    <s v="T"/>
    <s v="T"/>
    <s v="08.08.17"/>
    <n v="21"/>
    <s v="ZloteTarasy"/>
    <x v="1"/>
  </r>
  <r>
    <n v="56"/>
    <x v="6"/>
    <s v="L"/>
    <x v="2"/>
    <x v="1"/>
    <n v="21"/>
    <x v="1"/>
    <x v="1"/>
    <s v="R"/>
    <s v="T"/>
    <s v="H"/>
    <s v="08.08.17"/>
    <n v="21"/>
    <s v="ZloteTarasy"/>
    <x v="1"/>
  </r>
  <r>
    <n v="57"/>
    <x v="6"/>
    <s v="L"/>
    <x v="2"/>
    <x v="2"/>
    <n v="20"/>
    <x v="1"/>
    <x v="1"/>
    <s v="R"/>
    <s v="T"/>
    <s v="T"/>
    <s v="08.08.17"/>
    <n v="21"/>
    <s v="ZloteTarasy"/>
    <x v="1"/>
  </r>
  <r>
    <n v="58"/>
    <x v="1"/>
    <s v="L"/>
    <x v="1"/>
    <x v="1"/>
    <n v="25"/>
    <x v="1"/>
    <x v="1"/>
    <s v="R"/>
    <s v="T"/>
    <s v="B"/>
    <s v="08.08.17"/>
    <n v="21"/>
    <s v="ZloteTarasy"/>
    <x v="1"/>
  </r>
  <r>
    <n v="59"/>
    <x v="1"/>
    <s v="L"/>
    <x v="1"/>
    <x v="1"/>
    <n v="30"/>
    <x v="1"/>
    <x v="2"/>
    <s v="L1"/>
    <s v="T"/>
    <s v="B"/>
    <s v="08.08.17"/>
    <n v="21"/>
    <s v="ZloteTarasy"/>
    <x v="1"/>
  </r>
  <r>
    <n v="60"/>
    <x v="6"/>
    <s v="L"/>
    <x v="1"/>
    <x v="2"/>
    <n v="21"/>
    <x v="3"/>
    <x v="1"/>
    <s v="M5"/>
    <s v="T"/>
    <s v="T"/>
    <s v="08.08.17"/>
    <n v="21"/>
    <s v="ZloteTarasy"/>
    <x v="1"/>
  </r>
  <r>
    <n v="61"/>
    <x v="2"/>
    <s v="P"/>
    <x v="2"/>
    <x v="1"/>
    <n v="33"/>
    <x v="1"/>
    <x v="2"/>
    <s v="H1"/>
    <s v="T"/>
    <s v="B"/>
    <s v="09.08.17"/>
    <n v="14"/>
    <s v="dw.Centralny"/>
    <x v="1"/>
  </r>
  <r>
    <n v="62"/>
    <x v="2"/>
    <s v="P"/>
    <x v="2"/>
    <x v="2"/>
    <n v="33"/>
    <x v="1"/>
    <x v="1"/>
    <s v="R"/>
    <s v="T"/>
    <s v="H"/>
    <s v="09.08.17"/>
    <n v="14"/>
    <s v="dw.Centralny"/>
    <x v="1"/>
  </r>
  <r>
    <n v="63"/>
    <x v="2"/>
    <s v="P"/>
    <x v="2"/>
    <x v="2"/>
    <n v="32"/>
    <x v="1"/>
    <x v="1"/>
    <s v="R"/>
    <s v="T"/>
    <s v="B"/>
    <s v="09.08.17"/>
    <n v="14"/>
    <s v="dw.Centralny"/>
    <x v="1"/>
  </r>
  <r>
    <n v="64"/>
    <x v="2"/>
    <s v="P"/>
    <x v="2"/>
    <x v="1"/>
    <n v="22"/>
    <x v="1"/>
    <x v="1"/>
    <s v="R"/>
    <s v="T"/>
    <s v="H"/>
    <s v="09.08.17"/>
    <n v="14"/>
    <s v="dw.Centralny"/>
    <x v="1"/>
  </r>
  <r>
    <n v="65"/>
    <x v="2"/>
    <s v="P"/>
    <x v="2"/>
    <x v="2"/>
    <n v="42"/>
    <x v="1"/>
    <x v="1"/>
    <s v="R"/>
    <s v="T"/>
    <s v="T"/>
    <s v="09.08.17"/>
    <n v="14"/>
    <s v="dw.Centralny"/>
    <x v="1"/>
  </r>
  <r>
    <n v="66"/>
    <x v="2"/>
    <s v="P"/>
    <x v="2"/>
    <x v="1"/>
    <n v="44"/>
    <x v="1"/>
    <x v="1"/>
    <s v="R"/>
    <s v="T"/>
    <s v="B"/>
    <s v="09.08.17"/>
    <n v="14"/>
    <s v="dw.Centralny"/>
    <x v="1"/>
  </r>
  <r>
    <n v="67"/>
    <x v="2"/>
    <s v="L"/>
    <x v="2"/>
    <x v="2"/>
    <n v="41"/>
    <x v="1"/>
    <x v="1"/>
    <s v="R"/>
    <s v="T"/>
    <s v="B"/>
    <s v="09.08.17"/>
    <n v="14"/>
    <s v="dw.Centralny"/>
    <x v="1"/>
  </r>
  <r>
    <n v="68"/>
    <x v="2"/>
    <s v="L"/>
    <x v="2"/>
    <x v="2"/>
    <n v="30"/>
    <x v="1"/>
    <x v="2"/>
    <s v="H1"/>
    <s v="T"/>
    <s v="B"/>
    <s v="09.08.17"/>
    <n v="14"/>
    <s v="dw.Centralny"/>
    <x v="1"/>
  </r>
  <r>
    <n v="69"/>
    <x v="2"/>
    <s v="P"/>
    <x v="1"/>
    <x v="2"/>
    <n v="28"/>
    <x v="1"/>
    <x v="1"/>
    <s v="R"/>
    <s v="T"/>
    <s v="T"/>
    <s v="09.08.17"/>
    <n v="14"/>
    <s v="dw.Centralny"/>
    <x v="1"/>
  </r>
  <r>
    <n v="70"/>
    <x v="2"/>
    <s v="P"/>
    <x v="1"/>
    <x v="2"/>
    <n v="21"/>
    <x v="5"/>
    <x v="1"/>
    <s v="H1"/>
    <s v="T"/>
    <s v="T"/>
    <s v="09.08.17"/>
    <n v="14"/>
    <s v="dw.Centralny"/>
    <x v="1"/>
  </r>
  <r>
    <n v="71"/>
    <x v="2"/>
    <s v="P"/>
    <x v="1"/>
    <x v="2"/>
    <n v="32"/>
    <x v="1"/>
    <x v="1"/>
    <s v="R"/>
    <s v="H"/>
    <s v="B"/>
    <s v="09.08.17"/>
    <n v="14"/>
    <s v="dw.Centralny"/>
    <x v="1"/>
  </r>
  <r>
    <n v="72"/>
    <x v="4"/>
    <s v="P"/>
    <x v="2"/>
    <x v="2"/>
    <n v="15"/>
    <x v="1"/>
    <x v="1"/>
    <s v="R"/>
    <s v="H"/>
    <s v="T"/>
    <s v="09.08.17"/>
    <n v="14"/>
    <s v="dw.Centralny"/>
    <x v="1"/>
  </r>
  <r>
    <n v="73"/>
    <x v="4"/>
    <s v="P"/>
    <x v="2"/>
    <x v="2"/>
    <n v="40"/>
    <x v="4"/>
    <x v="1"/>
    <s v="M1"/>
    <s v="H"/>
    <s v="H"/>
    <s v="09.08.17"/>
    <n v="14"/>
    <s v="dw.Centralny"/>
    <x v="1"/>
  </r>
  <r>
    <n v="74"/>
    <x v="4"/>
    <s v="P"/>
    <x v="2"/>
    <x v="1"/>
    <n v="37"/>
    <x v="4"/>
    <x v="2"/>
    <s v="R"/>
    <s v="H"/>
    <s v="T"/>
    <s v="09.08.17"/>
    <n v="14"/>
    <s v="dw.Centralny"/>
    <x v="1"/>
  </r>
  <r>
    <n v="75"/>
    <x v="4"/>
    <s v="P"/>
    <x v="2"/>
    <x v="2"/>
    <n v="36"/>
    <x v="4"/>
    <x v="1"/>
    <s v="M1"/>
    <s v="H"/>
    <s v="H"/>
    <s v="09.08.17"/>
    <n v="14"/>
    <s v="dw.Centralny"/>
    <x v="1"/>
  </r>
  <r>
    <n v="76"/>
    <x v="3"/>
    <s v="L"/>
    <x v="1"/>
    <x v="2"/>
    <n v="51"/>
    <x v="1"/>
    <x v="1"/>
    <s v="R"/>
    <s v="H"/>
    <s v="T"/>
    <s v="09.08.17"/>
    <n v="14"/>
    <s v="dw.Centralny"/>
    <x v="1"/>
  </r>
  <r>
    <n v="77"/>
    <x v="3"/>
    <s v="L"/>
    <x v="1"/>
    <x v="2"/>
    <n v="15"/>
    <x v="6"/>
    <x v="1"/>
    <s v="L5"/>
    <s v="H"/>
    <s v="T"/>
    <s v="09.08.17"/>
    <n v="14"/>
    <s v="dw.Centralny"/>
    <x v="1"/>
  </r>
  <r>
    <n v="78"/>
    <x v="3"/>
    <s v="L"/>
    <x v="1"/>
    <x v="1"/>
    <n v="31"/>
    <x v="1"/>
    <x v="1"/>
    <s v="R"/>
    <s v="T"/>
    <s v="H"/>
    <s v="09.08.17"/>
    <n v="14"/>
    <s v="dw.Centralny"/>
    <x v="1"/>
  </r>
  <r>
    <n v="79"/>
    <x v="5"/>
    <s v="P"/>
    <x v="2"/>
    <x v="2"/>
    <n v="34"/>
    <x v="1"/>
    <x v="1"/>
    <s v="R"/>
    <s v="T"/>
    <s v="T"/>
    <s v="09.08.17"/>
    <n v="14"/>
    <s v="dw.Centralny"/>
    <x v="1"/>
  </r>
  <r>
    <n v="80"/>
    <x v="5"/>
    <s v="P"/>
    <x v="2"/>
    <x v="2"/>
    <n v="21"/>
    <x v="1"/>
    <x v="1"/>
    <s v="R"/>
    <s v="T"/>
    <s v="B"/>
    <s v="09.08.17"/>
    <n v="14"/>
    <s v="dw.Centralny"/>
    <x v="1"/>
  </r>
  <r>
    <n v="81"/>
    <x v="5"/>
    <s v="P"/>
    <x v="2"/>
    <x v="2"/>
    <n v="70"/>
    <x v="1"/>
    <x v="1"/>
    <s v="R"/>
    <s v="T"/>
    <s v="H"/>
    <s v="09.08.17"/>
    <n v="14"/>
    <s v="dw.Centralny"/>
    <x v="1"/>
  </r>
  <r>
    <n v="82"/>
    <x v="5"/>
    <s v="P"/>
    <x v="2"/>
    <x v="2"/>
    <n v="47"/>
    <x v="1"/>
    <x v="1"/>
    <s v="R"/>
    <s v="H"/>
    <n v="0"/>
    <s v="09.08.17"/>
    <n v="14"/>
    <s v="dw.Centralny"/>
    <x v="1"/>
  </r>
  <r>
    <n v="83"/>
    <x v="5"/>
    <s v="P"/>
    <x v="2"/>
    <x v="1"/>
    <n v="30"/>
    <x v="1"/>
    <x v="1"/>
    <s v="R"/>
    <s v="H"/>
    <s v="T"/>
    <s v="09.08.17"/>
    <n v="14"/>
    <s v="dw.Centralny"/>
    <x v="1"/>
  </r>
  <r>
    <n v="84"/>
    <x v="5"/>
    <s v="P"/>
    <x v="2"/>
    <x v="2"/>
    <n v="44"/>
    <x v="2"/>
    <x v="1"/>
    <s v="H5"/>
    <s v="H"/>
    <s v="B"/>
    <s v="09.08.17"/>
    <n v="21"/>
    <s v="dw.Centralny"/>
    <x v="1"/>
  </r>
  <r>
    <n v="85"/>
    <x v="6"/>
    <s v="P"/>
    <x v="1"/>
    <x v="2"/>
    <n v="57"/>
    <x v="3"/>
    <x v="1"/>
    <s v="M5"/>
    <s v="T"/>
    <s v="H"/>
    <s v="09.08.17"/>
    <n v="21"/>
    <s v="dw.Centralny"/>
    <x v="1"/>
  </r>
  <r>
    <n v="86"/>
    <x v="6"/>
    <s v="P"/>
    <x v="1"/>
    <x v="1"/>
    <n v="33"/>
    <x v="3"/>
    <x v="1"/>
    <s v="M5"/>
    <s v="T"/>
    <s v="B"/>
    <s v="09.08.17"/>
    <n v="21"/>
    <s v="dw.Centralny"/>
    <x v="1"/>
  </r>
  <r>
    <n v="87"/>
    <x v="6"/>
    <s v="P"/>
    <x v="1"/>
    <x v="2"/>
    <n v="43"/>
    <x v="1"/>
    <x v="1"/>
    <s v="R"/>
    <s v="T"/>
    <s v="H"/>
    <s v="09.08.17"/>
    <n v="21"/>
    <s v="dw.Centralny"/>
    <x v="1"/>
  </r>
  <r>
    <n v="88"/>
    <x v="6"/>
    <s v="P"/>
    <x v="1"/>
    <x v="1"/>
    <n v="45"/>
    <x v="1"/>
    <x v="1"/>
    <s v="R"/>
    <s v="T"/>
    <s v="H"/>
    <s v="09.08.17"/>
    <n v="21"/>
    <s v="dw.Centralny"/>
    <x v="1"/>
  </r>
  <r>
    <n v="89"/>
    <x v="5"/>
    <s v="P"/>
    <x v="1"/>
    <x v="1"/>
    <n v="33"/>
    <x v="2"/>
    <x v="1"/>
    <s v="H5"/>
    <s v="T"/>
    <s v="B"/>
    <s v="09.08.17"/>
    <n v="21"/>
    <s v="dw.Centralny"/>
    <x v="1"/>
  </r>
  <r>
    <n v="90"/>
    <x v="5"/>
    <s v="P"/>
    <x v="1"/>
    <x v="2"/>
    <n v="23"/>
    <x v="1"/>
    <x v="1"/>
    <s v="R"/>
    <s v="T"/>
    <s v="B"/>
    <s v="09.08.17"/>
    <n v="21"/>
    <s v="KomplSport"/>
    <x v="1"/>
  </r>
  <r>
    <n v="91"/>
    <x v="5"/>
    <s v="P"/>
    <x v="1"/>
    <x v="2"/>
    <n v="71"/>
    <x v="1"/>
    <x v="1"/>
    <s v="R"/>
    <s v="T"/>
    <s v="H"/>
    <s v="09.08.17"/>
    <n v="21"/>
    <s v="KomplSport"/>
    <x v="1"/>
  </r>
  <r>
    <n v="92"/>
    <x v="5"/>
    <s v="P"/>
    <x v="1"/>
    <x v="2"/>
    <n v="43"/>
    <x v="2"/>
    <x v="1"/>
    <s v="H5"/>
    <s v="T"/>
    <s v="B"/>
    <s v="09.08.17"/>
    <n v="21"/>
    <s v="KomplSport"/>
    <x v="1"/>
  </r>
  <r>
    <n v="93"/>
    <x v="4"/>
    <s v="L"/>
    <x v="2"/>
    <x v="1"/>
    <n v="23"/>
    <x v="1"/>
    <x v="1"/>
    <s v="R"/>
    <s v="H"/>
    <s v="B"/>
    <s v="09.08.17"/>
    <n v="21"/>
    <s v="KomplSport"/>
    <x v="1"/>
  </r>
  <r>
    <n v="94"/>
    <x v="4"/>
    <s v="L"/>
    <x v="2"/>
    <x v="1"/>
    <n v="38"/>
    <x v="1"/>
    <x v="1"/>
    <s v="R"/>
    <s v="H"/>
    <s v="B"/>
    <s v="09.08.17"/>
    <n v="21"/>
    <s v="KomplSport"/>
    <x v="1"/>
  </r>
  <r>
    <n v="95"/>
    <x v="4"/>
    <s v="L"/>
    <x v="2"/>
    <x v="2"/>
    <n v="65"/>
    <x v="1"/>
    <x v="1"/>
    <s v="R"/>
    <s v="H"/>
    <s v="H"/>
    <s v="09.08.17"/>
    <n v="21"/>
    <s v="KomplSport"/>
    <x v="1"/>
  </r>
  <r>
    <n v="96"/>
    <x v="4"/>
    <s v="L"/>
    <x v="2"/>
    <x v="1"/>
    <n v="32"/>
    <x v="1"/>
    <x v="1"/>
    <s v="R"/>
    <s v="H"/>
    <s v="B"/>
    <s v="09.08.17"/>
    <n v="21"/>
    <s v="KomplSport"/>
    <x v="1"/>
  </r>
  <r>
    <n v="97"/>
    <x v="4"/>
    <s v="P"/>
    <x v="1"/>
    <x v="1"/>
    <n v="25"/>
    <x v="1"/>
    <x v="2"/>
    <s v="M1"/>
    <s v="T"/>
    <s v="B"/>
    <s v="09.08.17"/>
    <n v="21"/>
    <s v="KomplSport"/>
    <x v="1"/>
  </r>
  <r>
    <n v="98"/>
    <x v="3"/>
    <s v="P"/>
    <x v="2"/>
    <x v="1"/>
    <n v="32"/>
    <x v="1"/>
    <x v="1"/>
    <s v="R"/>
    <s v="T"/>
    <s v="B"/>
    <s v="09.08.17"/>
    <n v="21"/>
    <s v="KomplSport"/>
    <x v="1"/>
  </r>
  <r>
    <n v="99"/>
    <x v="3"/>
    <s v="P"/>
    <x v="2"/>
    <x v="1"/>
    <n v="36"/>
    <x v="1"/>
    <x v="1"/>
    <s v="R"/>
    <s v="T"/>
    <s v="H"/>
    <s v="09.08.17"/>
    <n v="21"/>
    <s v="KomplSport"/>
    <x v="1"/>
  </r>
  <r>
    <n v="100"/>
    <x v="3"/>
    <s v="P"/>
    <x v="2"/>
    <x v="1"/>
    <n v="32"/>
    <x v="6"/>
    <x v="1"/>
    <s v="L5"/>
    <s v="T"/>
    <s v="B"/>
    <s v="09.08.17"/>
    <n v="21"/>
    <s v="KomplSport"/>
    <x v="1"/>
  </r>
  <r>
    <n v="101"/>
    <x v="3"/>
    <s v="P"/>
    <x v="2"/>
    <x v="1"/>
    <n v="26"/>
    <x v="1"/>
    <x v="1"/>
    <s v="R"/>
    <s v="T"/>
    <s v="T"/>
    <s v="09.08.17"/>
    <n v="21"/>
    <s v="KomplSport"/>
    <x v="1"/>
  </r>
  <r>
    <n v="102"/>
    <x v="3"/>
    <s v="P"/>
    <x v="2"/>
    <x v="1"/>
    <n v="39"/>
    <x v="6"/>
    <x v="2"/>
    <s v="R"/>
    <s v="T"/>
    <s v="B"/>
    <s v="09.08.17"/>
    <n v="21"/>
    <s v="KomplSport"/>
    <x v="1"/>
  </r>
  <r>
    <n v="103"/>
    <x v="3"/>
    <s v="P"/>
    <x v="2"/>
    <x v="1"/>
    <n v="28"/>
    <x v="1"/>
    <x v="1"/>
    <s v="R"/>
    <s v="T"/>
    <s v="T"/>
    <s v="09.08.17"/>
    <n v="21"/>
    <s v="KomplSport"/>
    <x v="1"/>
  </r>
  <r>
    <n v="104"/>
    <x v="3"/>
    <s v="P"/>
    <x v="2"/>
    <x v="1"/>
    <n v="34"/>
    <x v="1"/>
    <x v="1"/>
    <s v="R"/>
    <s v="T"/>
    <s v="H"/>
    <s v="09.08.17"/>
    <n v="21"/>
    <s v="KomplSport"/>
    <x v="1"/>
  </r>
  <r>
    <n v="105"/>
    <x v="3"/>
    <s v="P"/>
    <x v="2"/>
    <x v="2"/>
    <n v="26"/>
    <x v="1"/>
    <x v="2"/>
    <s v="L5"/>
    <s v="T"/>
    <s v="H"/>
    <s v="09.08.17"/>
    <n v="21"/>
    <s v="KomplSport"/>
    <x v="1"/>
  </r>
  <r>
    <n v="106"/>
    <x v="6"/>
    <s v="P"/>
    <x v="1"/>
    <x v="2"/>
    <n v="65"/>
    <x v="3"/>
    <x v="1"/>
    <s v="M5"/>
    <s v="H"/>
    <s v="B"/>
    <s v="11.08.17"/>
    <n v="14"/>
    <s v="biurowiec"/>
    <x v="1"/>
  </r>
  <r>
    <n v="107"/>
    <x v="6"/>
    <s v="P"/>
    <x v="1"/>
    <x v="2"/>
    <n v="52"/>
    <x v="3"/>
    <x v="1"/>
    <s v="M5"/>
    <s v="H"/>
    <s v="B"/>
    <s v="11.08.17"/>
    <n v="14"/>
    <s v="biurowiec"/>
    <x v="1"/>
  </r>
  <r>
    <n v="108"/>
    <x v="2"/>
    <s v="L"/>
    <x v="1"/>
    <x v="2"/>
    <n v="41"/>
    <x v="5"/>
    <x v="2"/>
    <s v="R"/>
    <s v="H"/>
    <s v="H"/>
    <s v="11.08.17"/>
    <n v="14"/>
    <s v="biurowiec"/>
    <x v="1"/>
  </r>
  <r>
    <n v="109"/>
    <x v="2"/>
    <s v="L"/>
    <x v="1"/>
    <x v="2"/>
    <n v="39"/>
    <x v="5"/>
    <x v="1"/>
    <s v="H1"/>
    <s v="H"/>
    <s v="H"/>
    <s v="11.08.17"/>
    <n v="14"/>
    <s v="biurowiec"/>
    <x v="1"/>
  </r>
  <r>
    <n v="110"/>
    <x v="2"/>
    <s v="L"/>
    <x v="1"/>
    <x v="1"/>
    <n v="31"/>
    <x v="1"/>
    <x v="2"/>
    <s v="H1"/>
    <s v="H"/>
    <s v="B"/>
    <s v="11.08.17"/>
    <n v="14"/>
    <s v="biurowiec"/>
    <x v="1"/>
  </r>
  <r>
    <n v="111"/>
    <x v="1"/>
    <s v="L"/>
    <x v="1"/>
    <x v="2"/>
    <n v="35"/>
    <x v="7"/>
    <x v="1"/>
    <s v="L1"/>
    <s v="H"/>
    <s v="T"/>
    <s v="11.08.17"/>
    <n v="14"/>
    <s v="biurowiec"/>
    <x v="1"/>
  </r>
  <r>
    <n v="112"/>
    <x v="1"/>
    <s v="L"/>
    <x v="1"/>
    <x v="2"/>
    <n v="26"/>
    <x v="1"/>
    <x v="1"/>
    <s v="R"/>
    <s v="H"/>
    <s v="T"/>
    <s v="11.08.17"/>
    <n v="14"/>
    <s v="biurowiec"/>
    <x v="1"/>
  </r>
  <r>
    <n v="113"/>
    <x v="1"/>
    <s v="L"/>
    <x v="1"/>
    <x v="2"/>
    <n v="39"/>
    <x v="1"/>
    <x v="1"/>
    <s v="R"/>
    <s v="H"/>
    <s v="B"/>
    <s v="11.08.17"/>
    <n v="14"/>
    <s v="biurowiec"/>
    <x v="1"/>
  </r>
  <r>
    <n v="114"/>
    <x v="1"/>
    <s v="L"/>
    <x v="1"/>
    <x v="2"/>
    <n v="26"/>
    <x v="1"/>
    <x v="1"/>
    <s v="R"/>
    <s v="H"/>
    <s v="B"/>
    <s v="11.08.17"/>
    <n v="14"/>
    <s v="biurowiec"/>
    <x v="1"/>
  </r>
  <r>
    <n v="115"/>
    <x v="1"/>
    <s v="L"/>
    <x v="1"/>
    <x v="2"/>
    <n v="38"/>
    <x v="1"/>
    <x v="1"/>
    <s v="R"/>
    <s v="H"/>
    <s v="H"/>
    <s v="11.08.17"/>
    <n v="14"/>
    <s v="biurowiec"/>
    <x v="1"/>
  </r>
  <r>
    <n v="116"/>
    <x v="1"/>
    <s v="P"/>
    <x v="2"/>
    <x v="2"/>
    <n v="24"/>
    <x v="1"/>
    <x v="1"/>
    <s v="R"/>
    <s v="T"/>
    <s v="H"/>
    <s v="11.08.17"/>
    <n v="14"/>
    <s v="biurowiec"/>
    <x v="1"/>
  </r>
  <r>
    <n v="117"/>
    <x v="1"/>
    <s v="P"/>
    <x v="2"/>
    <x v="1"/>
    <n v="56"/>
    <x v="1"/>
    <x v="2"/>
    <s v="L1"/>
    <s v="T"/>
    <s v="H"/>
    <s v="11.08.17"/>
    <n v="14"/>
    <s v="biurowiec"/>
    <x v="1"/>
  </r>
  <r>
    <n v="118"/>
    <x v="1"/>
    <s v="L"/>
    <x v="2"/>
    <x v="1"/>
    <n v="28"/>
    <x v="1"/>
    <x v="1"/>
    <s v="R"/>
    <s v="T"/>
    <s v="B"/>
    <s v="11.08.17"/>
    <n v="14"/>
    <s v="biurowiec"/>
    <x v="1"/>
  </r>
  <r>
    <n v="119"/>
    <x v="1"/>
    <s v="L"/>
    <x v="2"/>
    <x v="2"/>
    <n v="58"/>
    <x v="1"/>
    <x v="1"/>
    <s v="R"/>
    <s v="T"/>
    <s v="H"/>
    <s v="11.08.17"/>
    <n v="14"/>
    <s v="biurowiec"/>
    <x v="1"/>
  </r>
  <r>
    <n v="120"/>
    <x v="1"/>
    <s v="P"/>
    <x v="2"/>
    <x v="2"/>
    <n v="35"/>
    <x v="1"/>
    <x v="1"/>
    <s v="R"/>
    <s v="T"/>
    <s v="H"/>
    <s v="11.08.17"/>
    <n v="14"/>
    <s v="biurowiec"/>
    <x v="1"/>
  </r>
  <r>
    <n v="121"/>
    <x v="1"/>
    <s v="P"/>
    <x v="2"/>
    <x v="2"/>
    <n v="34"/>
    <x v="1"/>
    <x v="1"/>
    <s v="R"/>
    <s v="T"/>
    <s v="T"/>
    <s v="11.08.17"/>
    <n v="14"/>
    <s v="biurowiec"/>
    <x v="1"/>
  </r>
  <r>
    <n v="122"/>
    <x v="1"/>
    <s v="P"/>
    <x v="2"/>
    <x v="2"/>
    <n v="36"/>
    <x v="1"/>
    <x v="1"/>
    <s v="R"/>
    <s v="T"/>
    <s v="B"/>
    <s v="11.08.17"/>
    <n v="14"/>
    <s v="biurowiec"/>
    <x v="1"/>
  </r>
  <r>
    <n v="123"/>
    <x v="1"/>
    <s v="P"/>
    <x v="2"/>
    <x v="2"/>
    <n v="26"/>
    <x v="1"/>
    <x v="1"/>
    <s v="R"/>
    <s v="T"/>
    <s v="B"/>
    <s v="11.08.17"/>
    <n v="14"/>
    <s v="biurowiec"/>
    <x v="1"/>
  </r>
  <r>
    <n v="124"/>
    <x v="6"/>
    <s v="P"/>
    <x v="2"/>
    <x v="2"/>
    <n v="26"/>
    <x v="1"/>
    <x v="1"/>
    <s v="R"/>
    <s v="T"/>
    <s v="B"/>
    <s v="11.08.17"/>
    <n v="14"/>
    <s v="biurowiec"/>
    <x v="1"/>
  </r>
  <r>
    <n v="125"/>
    <x v="6"/>
    <s v="P"/>
    <x v="2"/>
    <x v="1"/>
    <n v="30"/>
    <x v="1"/>
    <x v="1"/>
    <s v="R"/>
    <s v="T"/>
    <s v="T"/>
    <s v="11.08.17"/>
    <n v="14"/>
    <s v="bazarek"/>
    <x v="1"/>
  </r>
  <r>
    <n v="126"/>
    <x v="6"/>
    <s v="P"/>
    <x v="2"/>
    <x v="2"/>
    <n v="63"/>
    <x v="3"/>
    <x v="1"/>
    <s v="M5"/>
    <s v="T"/>
    <s v="H"/>
    <s v="11.08.17"/>
    <n v="14"/>
    <s v="bazarek"/>
    <x v="1"/>
  </r>
  <r>
    <n v="127"/>
    <x v="6"/>
    <s v="P"/>
    <x v="2"/>
    <x v="1"/>
    <n v="26"/>
    <x v="1"/>
    <x v="1"/>
    <s v="R"/>
    <s v="T"/>
    <s v="H"/>
    <s v="11.08.17"/>
    <n v="14"/>
    <s v="bazarek"/>
    <x v="1"/>
  </r>
  <r>
    <n v="128"/>
    <x v="6"/>
    <s v="P"/>
    <x v="2"/>
    <x v="1"/>
    <n v="25"/>
    <x v="1"/>
    <x v="2"/>
    <s v="M5"/>
    <s v="T"/>
    <s v="B"/>
    <s v="11.08.17"/>
    <n v="14"/>
    <s v="bazarek"/>
    <x v="1"/>
  </r>
  <r>
    <n v="129"/>
    <x v="4"/>
    <s v="P"/>
    <x v="2"/>
    <x v="1"/>
    <n v="32"/>
    <x v="1"/>
    <x v="2"/>
    <s v="M1"/>
    <s v="H"/>
    <s v="B"/>
    <s v="11.08.17"/>
    <n v="14"/>
    <s v="bazarek"/>
    <x v="1"/>
  </r>
  <r>
    <n v="130"/>
    <x v="4"/>
    <s v="P"/>
    <x v="2"/>
    <x v="2"/>
    <n v="39"/>
    <x v="1"/>
    <x v="1"/>
    <s v="R"/>
    <s v="H"/>
    <s v="B"/>
    <s v="11.08.17"/>
    <n v="14"/>
    <s v="bazarek"/>
    <x v="1"/>
  </r>
  <r>
    <n v="131"/>
    <x v="4"/>
    <s v="P"/>
    <x v="2"/>
    <x v="1"/>
    <n v="66"/>
    <x v="1"/>
    <x v="1"/>
    <s v="R"/>
    <s v="H"/>
    <s v="T"/>
    <s v="11.08.17"/>
    <n v="14"/>
    <s v="bazarek"/>
    <x v="1"/>
  </r>
  <r>
    <n v="132"/>
    <x v="4"/>
    <s v="P"/>
    <x v="2"/>
    <x v="2"/>
    <n v="66"/>
    <x v="1"/>
    <x v="1"/>
    <s v="R"/>
    <s v="H"/>
    <s v="T"/>
    <s v="11.08.17"/>
    <n v="14"/>
    <s v="bazarek"/>
    <x v="1"/>
  </r>
  <r>
    <n v="133"/>
    <x v="4"/>
    <s v="P"/>
    <x v="2"/>
    <x v="1"/>
    <n v="35"/>
    <x v="1"/>
    <x v="2"/>
    <s v="M1"/>
    <s v="H"/>
    <s v="B"/>
    <s v="11.08.17"/>
    <n v="14"/>
    <s v="bazarek"/>
    <x v="1"/>
  </r>
  <r>
    <n v="134"/>
    <x v="2"/>
    <s v="P"/>
    <x v="2"/>
    <x v="2"/>
    <n v="49"/>
    <x v="1"/>
    <x v="1"/>
    <s v="R"/>
    <s v="H"/>
    <s v="H"/>
    <s v="11.08.17"/>
    <n v="14"/>
    <s v="bazarek"/>
    <x v="1"/>
  </r>
  <r>
    <n v="135"/>
    <x v="2"/>
    <s v="P"/>
    <x v="2"/>
    <x v="2"/>
    <n v="39"/>
    <x v="1"/>
    <x v="1"/>
    <s v="R"/>
    <s v="H"/>
    <s v="T"/>
    <s v="11.08.17"/>
    <n v="14"/>
    <s v="bazarek"/>
    <x v="1"/>
  </r>
  <r>
    <n v="136"/>
    <x v="2"/>
    <s v="P"/>
    <x v="2"/>
    <x v="1"/>
    <n v="40"/>
    <x v="5"/>
    <x v="1"/>
    <s v="H1"/>
    <s v="H"/>
    <s v="B"/>
    <s v="11.08.17"/>
    <n v="14"/>
    <s v="bazarek"/>
    <x v="1"/>
  </r>
  <r>
    <n v="137"/>
    <x v="2"/>
    <s v="P"/>
    <x v="2"/>
    <x v="2"/>
    <n v="40"/>
    <x v="5"/>
    <x v="1"/>
    <s v="H1"/>
    <s v="H"/>
    <s v="T"/>
    <s v="11.08.17"/>
    <n v="14"/>
    <s v="bazarek"/>
    <x v="1"/>
  </r>
  <r>
    <n v="138"/>
    <x v="1"/>
    <s v="L"/>
    <x v="1"/>
    <x v="2"/>
    <n v="22"/>
    <x v="7"/>
    <x v="1"/>
    <s v="L1"/>
    <s v="H"/>
    <s v="T"/>
    <s v="11.08.17"/>
    <n v="14"/>
    <s v="bazarek"/>
    <x v="1"/>
  </r>
  <r>
    <n v="139"/>
    <x v="1"/>
    <s v="L"/>
    <x v="1"/>
    <x v="1"/>
    <n v="28"/>
    <x v="1"/>
    <x v="1"/>
    <s v="R"/>
    <s v="H"/>
    <s v="B"/>
    <s v="11.08.17"/>
    <n v="14"/>
    <s v="bazarek"/>
    <x v="1"/>
  </r>
  <r>
    <n v="140"/>
    <x v="1"/>
    <s v="L"/>
    <x v="1"/>
    <x v="1"/>
    <n v="30"/>
    <x v="1"/>
    <x v="1"/>
    <s v="R"/>
    <s v="H"/>
    <s v="B"/>
    <s v="11.08.17"/>
    <n v="14"/>
    <s v="bazarek"/>
    <x v="1"/>
  </r>
  <r>
    <n v="141"/>
    <x v="1"/>
    <s v="L"/>
    <x v="1"/>
    <x v="2"/>
    <n v="23"/>
    <x v="1"/>
    <x v="1"/>
    <s v="R"/>
    <s v="H"/>
    <s v="B"/>
    <s v="11.08.17"/>
    <n v="14"/>
    <s v="bazarek"/>
    <x v="1"/>
  </r>
  <r>
    <n v="142"/>
    <x v="1"/>
    <s v="L"/>
    <x v="1"/>
    <x v="2"/>
    <n v="20"/>
    <x v="1"/>
    <x v="1"/>
    <s v="R"/>
    <s v="H"/>
    <s v="H"/>
    <s v="11.08.17"/>
    <n v="14"/>
    <s v="bazarek"/>
    <x v="1"/>
  </r>
  <r>
    <n v="143"/>
    <x v="1"/>
    <s v="L"/>
    <x v="1"/>
    <x v="2"/>
    <n v="62"/>
    <x v="1"/>
    <x v="1"/>
    <s v="R"/>
    <s v="H"/>
    <s v="B"/>
    <s v="11.08.17"/>
    <n v="14"/>
    <s v="bazarek"/>
    <x v="1"/>
  </r>
  <r>
    <n v="144"/>
    <x v="1"/>
    <s v="L"/>
    <x v="1"/>
    <x v="2"/>
    <n v="62"/>
    <x v="1"/>
    <x v="1"/>
    <s v="R"/>
    <s v="H"/>
    <s v="T"/>
    <s v="11.08.17"/>
    <n v="14"/>
    <s v="bazarek"/>
    <x v="1"/>
  </r>
  <r>
    <n v="145"/>
    <x v="1"/>
    <s v="L"/>
    <x v="1"/>
    <x v="1"/>
    <n v="28"/>
    <x v="1"/>
    <x v="1"/>
    <s v="R"/>
    <s v="H"/>
    <s v="B"/>
    <s v="11.08.17"/>
    <n v="14"/>
    <s v="bazarek"/>
    <x v="1"/>
  </r>
  <r>
    <n v="146"/>
    <x v="1"/>
    <s v="L"/>
    <x v="1"/>
    <x v="2"/>
    <n v="61"/>
    <x v="7"/>
    <x v="1"/>
    <s v="L1"/>
    <s v="H"/>
    <s v="T"/>
    <s v="11.08.17"/>
    <n v="14"/>
    <s v="bazarek"/>
    <x v="1"/>
  </r>
  <r>
    <n v="147"/>
    <x v="3"/>
    <s v="L"/>
    <x v="2"/>
    <x v="2"/>
    <n v="39"/>
    <x v="1"/>
    <x v="1"/>
    <s v="R"/>
    <s v="H"/>
    <s v="T"/>
    <s v="17.08.17"/>
    <n v="14"/>
    <s v="bazarek"/>
    <x v="1"/>
  </r>
  <r>
    <n v="148"/>
    <x v="3"/>
    <s v="L"/>
    <x v="2"/>
    <x v="2"/>
    <n v="25"/>
    <x v="1"/>
    <x v="1"/>
    <s v="R"/>
    <s v="H"/>
    <s v="H"/>
    <s v="17.08.17"/>
    <n v="14"/>
    <s v="bazarek"/>
    <x v="1"/>
  </r>
  <r>
    <n v="149"/>
    <x v="3"/>
    <s v="L"/>
    <x v="2"/>
    <x v="2"/>
    <n v="61"/>
    <x v="1"/>
    <x v="1"/>
    <s v="R"/>
    <s v="H"/>
    <s v="H"/>
    <s v="17.08.17"/>
    <n v="14"/>
    <s v="bazarek"/>
    <x v="1"/>
  </r>
  <r>
    <n v="150"/>
    <x v="3"/>
    <s v="P"/>
    <x v="2"/>
    <x v="2"/>
    <n v="40"/>
    <x v="6"/>
    <x v="1"/>
    <s v="L5"/>
    <s v="H"/>
    <s v="T"/>
    <s v="17.08.17"/>
    <n v="14"/>
    <s v="bazarek"/>
    <x v="1"/>
  </r>
  <r>
    <n v="151"/>
    <x v="3"/>
    <s v="P"/>
    <x v="2"/>
    <x v="1"/>
    <n v="49"/>
    <x v="1"/>
    <x v="1"/>
    <s v="R"/>
    <s v="H"/>
    <s v="T"/>
    <s v="17.08.17"/>
    <n v="14"/>
    <s v="bazarek"/>
    <x v="1"/>
  </r>
  <r>
    <n v="152"/>
    <x v="3"/>
    <s v="P"/>
    <x v="2"/>
    <x v="1"/>
    <n v="57"/>
    <x v="1"/>
    <x v="1"/>
    <s v="R"/>
    <s v="H"/>
    <n v="0"/>
    <s v="17.08.17"/>
    <n v="14"/>
    <s v="bazarek"/>
    <x v="1"/>
  </r>
  <r>
    <n v="153"/>
    <x v="3"/>
    <s v="L"/>
    <x v="1"/>
    <x v="2"/>
    <n v="65"/>
    <x v="6"/>
    <x v="1"/>
    <s v="L5"/>
    <s v="T"/>
    <s v="T"/>
    <s v="17.08.17"/>
    <n v="14"/>
    <s v="bazarek"/>
    <x v="1"/>
  </r>
  <r>
    <n v="154"/>
    <x v="6"/>
    <s v="L"/>
    <x v="1"/>
    <x v="2"/>
    <n v="58"/>
    <x v="3"/>
    <x v="1"/>
    <s v="M5"/>
    <s v="H"/>
    <s v="T"/>
    <s v="17.08.17"/>
    <n v="14"/>
    <s v="bazarek"/>
    <x v="1"/>
  </r>
  <r>
    <n v="155"/>
    <x v="6"/>
    <s v="L"/>
    <x v="1"/>
    <x v="2"/>
    <n v="40"/>
    <x v="3"/>
    <x v="1"/>
    <s v="M5"/>
    <s v="H"/>
    <s v="T"/>
    <s v="17.08.17"/>
    <n v="14"/>
    <s v="bazarek"/>
    <x v="1"/>
  </r>
  <r>
    <n v="156"/>
    <x v="3"/>
    <s v="P"/>
    <x v="1"/>
    <x v="2"/>
    <n v="45"/>
    <x v="6"/>
    <x v="1"/>
    <s v="L5"/>
    <s v="H"/>
    <s v="H"/>
    <s v="17.08.17"/>
    <n v="14"/>
    <s v="bazarek"/>
    <x v="1"/>
  </r>
  <r>
    <n v="157"/>
    <x v="6"/>
    <s v="L"/>
    <x v="1"/>
    <x v="2"/>
    <n v="71"/>
    <x v="1"/>
    <x v="1"/>
    <s v="R"/>
    <s v="T"/>
    <n v="0"/>
    <s v="17.08.17"/>
    <n v="14"/>
    <s v="bazarek"/>
    <x v="1"/>
  </r>
  <r>
    <n v="158"/>
    <x v="6"/>
    <s v="L"/>
    <x v="2"/>
    <x v="2"/>
    <n v="60"/>
    <x v="1"/>
    <x v="1"/>
    <s v="R"/>
    <s v="H"/>
    <n v="0"/>
    <s v="17.08.17"/>
    <n v="14"/>
    <s v="bazarek"/>
    <x v="1"/>
  </r>
  <r>
    <n v="159"/>
    <x v="6"/>
    <s v="L"/>
    <x v="2"/>
    <x v="2"/>
    <n v="20"/>
    <x v="1"/>
    <x v="1"/>
    <s v="R"/>
    <s v="H"/>
    <s v="T"/>
    <s v="17.08.17"/>
    <n v="14"/>
    <s v="bazarek"/>
    <x v="1"/>
  </r>
  <r>
    <n v="160"/>
    <x v="6"/>
    <s v="P"/>
    <x v="2"/>
    <x v="2"/>
    <n v="26"/>
    <x v="1"/>
    <x v="1"/>
    <s v="R"/>
    <s v="H"/>
    <s v="B"/>
    <s v="17.08.17"/>
    <n v="14"/>
    <s v="bazarek"/>
    <x v="1"/>
  </r>
  <r>
    <n v="161"/>
    <x v="6"/>
    <s v="P"/>
    <x v="2"/>
    <x v="2"/>
    <n v="24"/>
    <x v="1"/>
    <x v="1"/>
    <s v="R"/>
    <s v="H"/>
    <s v="B"/>
    <s v="17.08.17"/>
    <n v="14"/>
    <s v="bazarek"/>
    <x v="1"/>
  </r>
  <r>
    <n v="162"/>
    <x v="6"/>
    <s v="P"/>
    <x v="2"/>
    <x v="2"/>
    <n v="56"/>
    <x v="3"/>
    <x v="1"/>
    <s v="M5"/>
    <s v="H"/>
    <s v="T"/>
    <s v="17.08.17"/>
    <n v="14"/>
    <s v="bazarek"/>
    <x v="1"/>
  </r>
  <r>
    <n v="163"/>
    <x v="3"/>
    <s v="P"/>
    <x v="1"/>
    <x v="2"/>
    <n v="82"/>
    <x v="1"/>
    <x v="1"/>
    <s v="R"/>
    <s v="H"/>
    <s v="T"/>
    <s v="17.08.17"/>
    <n v="14"/>
    <s v="bazarek"/>
    <x v="1"/>
  </r>
  <r>
    <n v="164"/>
    <x v="3"/>
    <s v="P"/>
    <x v="1"/>
    <x v="2"/>
    <n v="64"/>
    <x v="6"/>
    <x v="1"/>
    <s v="L5"/>
    <s v="H"/>
    <s v="T"/>
    <s v="17.08.17"/>
    <n v="14"/>
    <s v="bazarek"/>
    <x v="1"/>
  </r>
  <r>
    <n v="165"/>
    <x v="5"/>
    <s v="P"/>
    <x v="1"/>
    <x v="2"/>
    <n v="50"/>
    <x v="2"/>
    <x v="2"/>
    <s v="R"/>
    <s v="H"/>
    <s v="B"/>
    <s v="17.08.17"/>
    <n v="14"/>
    <s v="bazarek"/>
    <x v="1"/>
  </r>
  <r>
    <n v="166"/>
    <x v="5"/>
    <s v="P"/>
    <x v="1"/>
    <x v="2"/>
    <n v="42"/>
    <x v="1"/>
    <x v="1"/>
    <s v="R"/>
    <s v="H"/>
    <s v="T"/>
    <s v="17.08.17"/>
    <n v="14"/>
    <s v="bazarek"/>
    <x v="1"/>
  </r>
  <r>
    <n v="167"/>
    <x v="5"/>
    <s v="P"/>
    <x v="1"/>
    <x v="2"/>
    <n v="77"/>
    <x v="2"/>
    <x v="1"/>
    <s v="H5"/>
    <s v="H"/>
    <n v="0"/>
    <s v="17.08.17"/>
    <n v="14"/>
    <s v="bazarek"/>
    <x v="1"/>
  </r>
  <r>
    <n v="168"/>
    <x v="2"/>
    <s v="L"/>
    <x v="2"/>
    <x v="1"/>
    <n v="21"/>
    <x v="1"/>
    <x v="1"/>
    <s v="R"/>
    <s v="H"/>
    <s v="B"/>
    <s v="17.08.17"/>
    <n v="21"/>
    <s v="KomplSport"/>
    <x v="1"/>
  </r>
  <r>
    <n v="169"/>
    <x v="2"/>
    <s v="L"/>
    <x v="2"/>
    <x v="1"/>
    <n v="20"/>
    <x v="1"/>
    <x v="1"/>
    <s v="R"/>
    <s v="T"/>
    <s v="H"/>
    <s v="17.08.17"/>
    <n v="21"/>
    <s v="KomplSport"/>
    <x v="1"/>
  </r>
  <r>
    <n v="170"/>
    <x v="2"/>
    <s v="L"/>
    <x v="1"/>
    <x v="1"/>
    <n v="20"/>
    <x v="1"/>
    <x v="1"/>
    <s v="R"/>
    <s v="H"/>
    <s v="B"/>
    <s v="17.08.17"/>
    <n v="21"/>
    <s v="KomplSport"/>
    <x v="1"/>
  </r>
  <r>
    <n v="171"/>
    <x v="2"/>
    <s v="L"/>
    <x v="1"/>
    <x v="1"/>
    <n v="25"/>
    <x v="5"/>
    <x v="1"/>
    <s v="H1"/>
    <s v="T"/>
    <s v="T"/>
    <s v="17.08.17"/>
    <n v="21"/>
    <s v="KomplSport"/>
    <x v="1"/>
  </r>
  <r>
    <n v="172"/>
    <x v="2"/>
    <s v="P"/>
    <x v="1"/>
    <x v="1"/>
    <n v="18"/>
    <x v="5"/>
    <x v="1"/>
    <s v="H1"/>
    <s v="H"/>
    <s v="B"/>
    <s v="17.08.17"/>
    <n v="21"/>
    <s v="KomplSport"/>
    <x v="1"/>
  </r>
  <r>
    <n v="173"/>
    <x v="6"/>
    <s v="L"/>
    <x v="2"/>
    <x v="1"/>
    <n v="48"/>
    <x v="1"/>
    <x v="1"/>
    <s v="R"/>
    <s v="H"/>
    <s v="T"/>
    <s v="17.08.17"/>
    <n v="21"/>
    <s v="KomplSport"/>
    <x v="1"/>
  </r>
  <r>
    <n v="174"/>
    <x v="6"/>
    <s v="L"/>
    <x v="1"/>
    <x v="2"/>
    <n v="65"/>
    <x v="1"/>
    <x v="1"/>
    <s v="R"/>
    <s v="H"/>
    <s v="H"/>
    <s v="17.08.17"/>
    <n v="21"/>
    <s v="KomplSport"/>
    <x v="1"/>
  </r>
  <r>
    <n v="175"/>
    <x v="6"/>
    <s v="L"/>
    <x v="1"/>
    <x v="2"/>
    <n v="24"/>
    <x v="3"/>
    <x v="1"/>
    <s v="M5"/>
    <s v="T"/>
    <s v="H"/>
    <s v="17.08.17"/>
    <n v="21"/>
    <s v="KomplSport"/>
    <x v="1"/>
  </r>
  <r>
    <n v="176"/>
    <x v="6"/>
    <s v="P"/>
    <x v="1"/>
    <x v="1"/>
    <n v="21"/>
    <x v="3"/>
    <x v="1"/>
    <s v="M5"/>
    <s v="H"/>
    <s v="B"/>
    <s v="17.08.17"/>
    <n v="21"/>
    <s v="KomplSport"/>
    <x v="1"/>
  </r>
  <r>
    <n v="177"/>
    <x v="1"/>
    <s v="L"/>
    <x v="2"/>
    <x v="1"/>
    <n v="22"/>
    <x v="1"/>
    <x v="1"/>
    <s v="R"/>
    <s v="H"/>
    <s v="B"/>
    <s v="17.08.17"/>
    <n v="21"/>
    <s v="KomplSport"/>
    <x v="1"/>
  </r>
  <r>
    <n v="178"/>
    <x v="1"/>
    <s v="P"/>
    <x v="1"/>
    <x v="2"/>
    <n v="23"/>
    <x v="1"/>
    <x v="1"/>
    <s v="R"/>
    <s v="H"/>
    <s v="B"/>
    <s v="17.08.17"/>
    <n v="21"/>
    <s v="KomplSport"/>
    <x v="1"/>
  </r>
  <r>
    <n v="179"/>
    <x v="5"/>
    <s v="L"/>
    <x v="2"/>
    <x v="1"/>
    <n v="25"/>
    <x v="1"/>
    <x v="1"/>
    <s v="R"/>
    <s v="H"/>
    <s v="B"/>
    <s v="17.08.17"/>
    <n v="21"/>
    <s v="KomplSport"/>
    <x v="1"/>
  </r>
  <r>
    <n v="180"/>
    <x v="5"/>
    <s v="L"/>
    <x v="2"/>
    <x v="2"/>
    <n v="45"/>
    <x v="1"/>
    <x v="2"/>
    <s v="H5"/>
    <s v="T"/>
    <s v="T"/>
    <s v="17.08.17"/>
    <n v="21"/>
    <s v="KomplSport"/>
    <x v="1"/>
  </r>
  <r>
    <n v="181"/>
    <x v="5"/>
    <s v="L"/>
    <x v="1"/>
    <x v="1"/>
    <n v="29"/>
    <x v="1"/>
    <x v="1"/>
    <s v="R"/>
    <s v="H"/>
    <s v="B"/>
    <s v="17.08.17"/>
    <n v="21"/>
    <s v="KomplSport"/>
    <x v="1"/>
  </r>
  <r>
    <n v="182"/>
    <x v="5"/>
    <s v="L"/>
    <x v="1"/>
    <x v="2"/>
    <n v="52"/>
    <x v="2"/>
    <x v="1"/>
    <s v="H5"/>
    <s v="T"/>
    <s v="T"/>
    <s v="17.08.17"/>
    <n v="21"/>
    <s v="KomplSport"/>
    <x v="1"/>
  </r>
  <r>
    <n v="183"/>
    <x v="4"/>
    <s v="L"/>
    <x v="1"/>
    <x v="2"/>
    <n v="39"/>
    <x v="4"/>
    <x v="1"/>
    <s v="M1"/>
    <s v="H"/>
    <s v="T"/>
    <s v="17.08.17"/>
    <n v="21"/>
    <s v="KomplSport"/>
    <x v="1"/>
  </r>
  <r>
    <n v="184"/>
    <x v="2"/>
    <s v="L"/>
    <x v="2"/>
    <x v="2"/>
    <n v="23"/>
    <x v="1"/>
    <x v="2"/>
    <s v="H1"/>
    <s v="H"/>
    <s v="B"/>
    <s v="18.08.17"/>
    <n v="14"/>
    <s v="ZloteTarasy"/>
    <x v="1"/>
  </r>
  <r>
    <n v="185"/>
    <x v="5"/>
    <s v="L"/>
    <x v="2"/>
    <x v="1"/>
    <n v="32"/>
    <x v="2"/>
    <x v="2"/>
    <s v="R"/>
    <s v="H"/>
    <s v="B"/>
    <s v="18.08.17"/>
    <n v="14"/>
    <s v="ZloteTarasy"/>
    <x v="1"/>
  </r>
  <r>
    <n v="186"/>
    <x v="5"/>
    <s v="L"/>
    <x v="2"/>
    <x v="2"/>
    <n v="37"/>
    <x v="1"/>
    <x v="1"/>
    <s v="R"/>
    <s v="T"/>
    <s v="H"/>
    <s v="18.08.17"/>
    <n v="14"/>
    <s v="ZloteTarasy"/>
    <x v="1"/>
  </r>
  <r>
    <n v="187"/>
    <x v="5"/>
    <s v="L"/>
    <x v="1"/>
    <x v="1"/>
    <n v="20"/>
    <x v="1"/>
    <x v="1"/>
    <s v="R"/>
    <s v="T"/>
    <s v="B"/>
    <s v="18.08.17"/>
    <n v="14"/>
    <s v="ZloteTarasy"/>
    <x v="1"/>
  </r>
  <r>
    <n v="188"/>
    <x v="1"/>
    <s v="L"/>
    <x v="2"/>
    <x v="2"/>
    <n v="45"/>
    <x v="7"/>
    <x v="1"/>
    <s v="L1"/>
    <s v="H"/>
    <s v="H"/>
    <s v="18.08.17"/>
    <n v="14"/>
    <s v="ZloteTarasy"/>
    <x v="1"/>
  </r>
  <r>
    <n v="189"/>
    <x v="1"/>
    <s v="P"/>
    <x v="1"/>
    <x v="1"/>
    <n v="23"/>
    <x v="1"/>
    <x v="1"/>
    <s v="R"/>
    <s v="H"/>
    <s v="B"/>
    <s v="18.08.17"/>
    <n v="14"/>
    <s v="ZloteTarasy"/>
    <x v="1"/>
  </r>
  <r>
    <n v="190"/>
    <x v="4"/>
    <s v="L"/>
    <x v="2"/>
    <x v="2"/>
    <n v="23"/>
    <x v="1"/>
    <x v="1"/>
    <s v="R"/>
    <s v="H"/>
    <s v="H"/>
    <s v="18.08.17"/>
    <n v="14"/>
    <s v="ZloteTarasy"/>
    <x v="1"/>
  </r>
  <r>
    <n v="191"/>
    <x v="4"/>
    <s v="P"/>
    <x v="2"/>
    <x v="2"/>
    <n v="65"/>
    <x v="4"/>
    <x v="1"/>
    <s v="M1"/>
    <s v="T"/>
    <s v="H"/>
    <s v="18.08.17"/>
    <n v="14"/>
    <s v="ZloteTarasy"/>
    <x v="1"/>
  </r>
  <r>
    <n v="192"/>
    <x v="4"/>
    <s v="P"/>
    <x v="2"/>
    <x v="1"/>
    <n v="20"/>
    <x v="1"/>
    <x v="2"/>
    <s v="M1"/>
    <s v="T"/>
    <s v="B"/>
    <s v="18.08.17"/>
    <n v="14"/>
    <s v="ZloteTarasy"/>
    <x v="1"/>
  </r>
  <r>
    <n v="193"/>
    <x v="4"/>
    <s v="P"/>
    <x v="1"/>
    <x v="2"/>
    <n v="20"/>
    <x v="4"/>
    <x v="1"/>
    <s v="M1"/>
    <s v="H"/>
    <s v="B"/>
    <s v="18.08.17"/>
    <n v="14"/>
    <s v="ZloteTarasy"/>
    <x v="1"/>
  </r>
  <r>
    <n v="194"/>
    <x v="5"/>
    <s v="L"/>
    <x v="1"/>
    <x v="1"/>
    <n v="29"/>
    <x v="2"/>
    <x v="2"/>
    <s v="R"/>
    <s v="T"/>
    <s v="H"/>
    <s v="18.08.17"/>
    <n v="14"/>
    <s v="ZloteTarasy"/>
    <x v="1"/>
  </r>
  <r>
    <n v="195"/>
    <x v="2"/>
    <s v="P"/>
    <x v="2"/>
    <x v="2"/>
    <n v="56"/>
    <x v="1"/>
    <x v="1"/>
    <s v="R"/>
    <s v="H"/>
    <s v="H"/>
    <s v="21.08.17"/>
    <n v="21"/>
    <s v="dw.Centralny"/>
    <x v="1"/>
  </r>
  <r>
    <n v="196"/>
    <x v="2"/>
    <s v="P"/>
    <x v="2"/>
    <x v="1"/>
    <n v="56"/>
    <x v="5"/>
    <x v="1"/>
    <s v="H1"/>
    <s v="T"/>
    <s v="H"/>
    <s v="21.08.17"/>
    <n v="21"/>
    <s v="dw.Centralny"/>
    <x v="1"/>
  </r>
  <r>
    <n v="197"/>
    <x v="2"/>
    <s v="P"/>
    <x v="1"/>
    <x v="1"/>
    <n v="17"/>
    <x v="1"/>
    <x v="2"/>
    <s v="H1"/>
    <s v="T"/>
    <s v="B"/>
    <s v="21.08.17"/>
    <n v="21"/>
    <s v="dw.Centralny"/>
    <x v="1"/>
  </r>
  <r>
    <n v="198"/>
    <x v="5"/>
    <s v="P"/>
    <x v="2"/>
    <x v="2"/>
    <n v="31"/>
    <x v="1"/>
    <x v="1"/>
    <s v="R"/>
    <s v="T"/>
    <s v="H"/>
    <s v="21.08.17"/>
    <n v="21"/>
    <s v="dw.Centralny"/>
    <x v="1"/>
  </r>
  <r>
    <n v="199"/>
    <x v="5"/>
    <s v="P"/>
    <x v="1"/>
    <x v="2"/>
    <n v="25"/>
    <x v="1"/>
    <x v="2"/>
    <s v="H5"/>
    <s v="H"/>
    <s v="B"/>
    <s v="21.08.17"/>
    <n v="21"/>
    <s v="dw.Centralny"/>
    <x v="1"/>
  </r>
  <r>
    <n v="200"/>
    <x v="5"/>
    <s v="P"/>
    <x v="1"/>
    <x v="2"/>
    <n v="43"/>
    <x v="1"/>
    <x v="1"/>
    <s v="R"/>
    <s v="H"/>
    <s v="T"/>
    <s v="21.08.17"/>
    <n v="21"/>
    <s v="dw.Centralny"/>
    <x v="1"/>
  </r>
  <r>
    <n v="201"/>
    <x v="1"/>
    <s v="P"/>
    <x v="2"/>
    <x v="2"/>
    <n v="38"/>
    <x v="1"/>
    <x v="1"/>
    <s v="R"/>
    <s v="T"/>
    <s v="B"/>
    <s v="21.08.17"/>
    <n v="21"/>
    <s v="dw.Centralny"/>
    <x v="1"/>
  </r>
  <r>
    <n v="202"/>
    <x v="1"/>
    <s v="P"/>
    <x v="1"/>
    <x v="2"/>
    <n v="26"/>
    <x v="1"/>
    <x v="1"/>
    <s v="R"/>
    <s v="T"/>
    <s v="H"/>
    <s v="21.08.17"/>
    <n v="21"/>
    <s v="dw.Centralny"/>
    <x v="1"/>
  </r>
  <r>
    <n v="203"/>
    <x v="1"/>
    <s v="L"/>
    <x v="1"/>
    <x v="2"/>
    <n v="35"/>
    <x v="7"/>
    <x v="1"/>
    <s v="L1"/>
    <s v="H"/>
    <s v="B"/>
    <s v="21.08.17"/>
    <n v="21"/>
    <s v="dw.Centralny"/>
    <x v="1"/>
  </r>
  <r>
    <n v="204"/>
    <x v="1"/>
    <s v="P"/>
    <x v="1"/>
    <x v="2"/>
    <n v="32"/>
    <x v="7"/>
    <x v="1"/>
    <s v="L1"/>
    <s v="H"/>
    <s v="B"/>
    <s v="21.08.17"/>
    <n v="21"/>
    <s v="dw.Centralny"/>
    <x v="1"/>
  </r>
  <r>
    <n v="205"/>
    <x v="3"/>
    <s v="L"/>
    <x v="2"/>
    <x v="2"/>
    <n v="20"/>
    <x v="1"/>
    <x v="1"/>
    <s v="R"/>
    <s v="H"/>
    <s v="B"/>
    <s v="21.08.17"/>
    <n v="21"/>
    <s v="dw.Centralny"/>
    <x v="1"/>
  </r>
  <r>
    <n v="206"/>
    <x v="3"/>
    <s v="P"/>
    <x v="2"/>
    <x v="1"/>
    <n v="21"/>
    <x v="1"/>
    <x v="1"/>
    <s v="R"/>
    <s v="H"/>
    <s v="B"/>
    <s v="21.08.17"/>
    <n v="21"/>
    <s v="dw.Centralny"/>
    <x v="1"/>
  </r>
  <r>
    <n v="207"/>
    <x v="3"/>
    <s v="L"/>
    <x v="1"/>
    <x v="1"/>
    <n v="45"/>
    <x v="6"/>
    <x v="1"/>
    <s v="L5"/>
    <s v="H"/>
    <s v="H"/>
    <s v="21.08.17"/>
    <n v="21"/>
    <s v="dw.Centralny"/>
    <x v="1"/>
  </r>
  <r>
    <n v="208"/>
    <x v="3"/>
    <s v="L"/>
    <x v="1"/>
    <x v="2"/>
    <n v="61"/>
    <x v="6"/>
    <x v="1"/>
    <s v="L5"/>
    <s v="T"/>
    <s v="H"/>
    <s v="21.08.17"/>
    <n v="21"/>
    <s v="dw.Centralny"/>
    <x v="1"/>
  </r>
  <r>
    <n v="209"/>
    <x v="3"/>
    <s v="P"/>
    <x v="1"/>
    <x v="2"/>
    <n v="42"/>
    <x v="6"/>
    <x v="1"/>
    <s v="L5"/>
    <s v="H"/>
    <s v="B"/>
    <s v="21.08.17"/>
    <n v="21"/>
    <s v="dw.Centralny"/>
    <x v="1"/>
  </r>
  <r>
    <n v="210"/>
    <x v="4"/>
    <s v="L"/>
    <x v="2"/>
    <x v="2"/>
    <n v="38"/>
    <x v="4"/>
    <x v="1"/>
    <s v="M1"/>
    <s v="T"/>
    <s v="B"/>
    <s v="21.08.17"/>
    <n v="21"/>
    <s v="dw.Centralny"/>
    <x v="1"/>
  </r>
  <r>
    <n v="211"/>
    <x v="4"/>
    <s v="L"/>
    <x v="2"/>
    <x v="1"/>
    <n v="36"/>
    <x v="1"/>
    <x v="1"/>
    <s v="R"/>
    <s v="T"/>
    <s v="T"/>
    <s v="21.08.17"/>
    <n v="21"/>
    <s v="dw.Centralny"/>
    <x v="1"/>
  </r>
  <r>
    <n v="212"/>
    <x v="4"/>
    <s v="P"/>
    <x v="2"/>
    <x v="2"/>
    <n v="31"/>
    <x v="4"/>
    <x v="1"/>
    <s v="M1"/>
    <s v="T"/>
    <s v="B"/>
    <s v="21.08.17"/>
    <n v="21"/>
    <s v="dw.Centralny"/>
    <x v="1"/>
  </r>
  <r>
    <n v="213"/>
    <x v="4"/>
    <s v="P"/>
    <x v="2"/>
    <x v="1"/>
    <n v="47"/>
    <x v="4"/>
    <x v="1"/>
    <s v="M1"/>
    <s v="T"/>
    <s v="B"/>
    <s v="21.08.17"/>
    <n v="21"/>
    <s v="dw.Centralny"/>
    <x v="1"/>
  </r>
  <r>
    <n v="214"/>
    <x v="4"/>
    <s v="L"/>
    <x v="1"/>
    <x v="2"/>
    <n v="40"/>
    <x v="1"/>
    <x v="1"/>
    <s v="R"/>
    <s v="T"/>
    <s v="T"/>
    <s v="21.08.17"/>
    <n v="21"/>
    <s v="dw.Centralny"/>
    <x v="1"/>
  </r>
  <r>
    <n v="215"/>
    <x v="4"/>
    <s v="L"/>
    <x v="1"/>
    <x v="1"/>
    <n v="28"/>
    <x v="1"/>
    <x v="1"/>
    <s v="R"/>
    <s v="T"/>
    <s v="H"/>
    <s v="21.08.17"/>
    <n v="21"/>
    <s v="dw.Centralny"/>
    <x v="1"/>
  </r>
  <r>
    <n v="216"/>
    <x v="4"/>
    <s v="P"/>
    <x v="1"/>
    <x v="2"/>
    <n v="30"/>
    <x v="1"/>
    <x v="1"/>
    <s v="R"/>
    <s v="H"/>
    <s v="T"/>
    <s v="21.08.17"/>
    <n v="21"/>
    <s v="dw.Centralny"/>
    <x v="1"/>
  </r>
  <r>
    <n v="217"/>
    <x v="4"/>
    <s v="P"/>
    <x v="1"/>
    <x v="2"/>
    <n v="23"/>
    <x v="1"/>
    <x v="1"/>
    <s v="R"/>
    <s v="H"/>
    <s v="T"/>
    <s v="21.08.17"/>
    <n v="21"/>
    <s v="dw.Centralny"/>
    <x v="1"/>
  </r>
  <r>
    <n v="218"/>
    <x v="4"/>
    <s v="P"/>
    <x v="1"/>
    <x v="1"/>
    <n v="33"/>
    <x v="1"/>
    <x v="1"/>
    <s v="R"/>
    <s v="H"/>
    <s v="B"/>
    <s v="21.08.17"/>
    <n v="21"/>
    <s v="dw.Centralny"/>
    <x v="1"/>
  </r>
  <r>
    <n v="219"/>
    <x v="4"/>
    <s v="L"/>
    <x v="2"/>
    <x v="2"/>
    <n v="26"/>
    <x v="1"/>
    <x v="1"/>
    <s v="R"/>
    <s v="T"/>
    <s v="H"/>
    <s v="21.08.17"/>
    <n v="21"/>
    <s v="dw.Centralny"/>
    <x v="1"/>
  </r>
  <r>
    <n v="220"/>
    <x v="4"/>
    <s v="P"/>
    <x v="2"/>
    <x v="2"/>
    <n v="25"/>
    <x v="4"/>
    <x v="1"/>
    <s v="M1"/>
    <s v="T"/>
    <s v="B"/>
    <s v="21.08.17"/>
    <n v="21"/>
    <s v="dw.Centralny"/>
    <x v="1"/>
  </r>
  <r>
    <n v="221"/>
    <x v="2"/>
    <s v="L"/>
    <x v="1"/>
    <x v="2"/>
    <n v="20"/>
    <x v="1"/>
    <x v="1"/>
    <s v="R"/>
    <s v="T"/>
    <s v="H"/>
    <s v="22.08.17"/>
    <n v="21"/>
    <s v="m.Swieto"/>
    <x v="1"/>
  </r>
  <r>
    <n v="222"/>
    <x v="2"/>
    <s v="L"/>
    <x v="1"/>
    <x v="1"/>
    <n v="27"/>
    <x v="1"/>
    <x v="1"/>
    <s v="R"/>
    <s v="T"/>
    <s v="B"/>
    <s v="22.08.17"/>
    <n v="21"/>
    <s v="m.Centrum"/>
    <x v="1"/>
  </r>
  <r>
    <n v="223"/>
    <x v="2"/>
    <s v="P"/>
    <x v="1"/>
    <x v="1"/>
    <n v="52"/>
    <x v="1"/>
    <x v="1"/>
    <s v="R"/>
    <s v="H"/>
    <s v="B"/>
    <s v="22.08.17"/>
    <n v="21"/>
    <s v="m.Swieto"/>
    <x v="1"/>
  </r>
  <r>
    <n v="224"/>
    <x v="2"/>
    <s v="P"/>
    <x v="1"/>
    <x v="1"/>
    <n v="37"/>
    <x v="1"/>
    <x v="1"/>
    <s v="R"/>
    <s v="H"/>
    <s v="B"/>
    <s v="22.08.17"/>
    <n v="21"/>
    <s v="m.Centrum"/>
    <x v="1"/>
  </r>
  <r>
    <n v="225"/>
    <x v="5"/>
    <s v="L"/>
    <x v="2"/>
    <x v="2"/>
    <n v="34"/>
    <x v="1"/>
    <x v="2"/>
    <s v="H5"/>
    <s v="H"/>
    <s v="B"/>
    <s v="22.08.17"/>
    <n v="21"/>
    <s v="m.Centrum"/>
    <x v="1"/>
  </r>
  <r>
    <n v="226"/>
    <x v="5"/>
    <s v="L"/>
    <x v="2"/>
    <x v="1"/>
    <n v="23"/>
    <x v="2"/>
    <x v="1"/>
    <s v="H5"/>
    <s v="T"/>
    <s v="T"/>
    <s v="22.08.17"/>
    <n v="21"/>
    <s v="m.Centrum"/>
    <x v="1"/>
  </r>
  <r>
    <n v="227"/>
    <x v="5"/>
    <s v="P"/>
    <x v="1"/>
    <x v="1"/>
    <n v="69"/>
    <x v="1"/>
    <x v="1"/>
    <s v="R"/>
    <s v="H"/>
    <s v="H"/>
    <s v="22.08.17"/>
    <n v="21"/>
    <s v="m.Swieto"/>
    <x v="1"/>
  </r>
  <r>
    <n v="228"/>
    <x v="3"/>
    <s v="P"/>
    <x v="1"/>
    <x v="2"/>
    <n v="26"/>
    <x v="1"/>
    <x v="1"/>
    <s v="R"/>
    <s v="H"/>
    <s v="T"/>
    <s v="22.08.17"/>
    <n v="21"/>
    <s v="m.Swieto"/>
    <x v="1"/>
  </r>
  <r>
    <n v="229"/>
    <x v="4"/>
    <s v="L"/>
    <x v="1"/>
    <x v="2"/>
    <n v="53"/>
    <x v="4"/>
    <x v="1"/>
    <s v="M1"/>
    <s v="H"/>
    <s v="B"/>
    <s v="22.08.17"/>
    <n v="21"/>
    <s v="m.Centrum"/>
    <x v="1"/>
  </r>
  <r>
    <n v="230"/>
    <x v="4"/>
    <s v="L"/>
    <x v="1"/>
    <x v="1"/>
    <n v="36"/>
    <x v="1"/>
    <x v="1"/>
    <s v="R"/>
    <s v="H"/>
    <s v="B"/>
    <s v="22.08.17"/>
    <n v="21"/>
    <s v="m.Swieto"/>
    <x v="1"/>
  </r>
  <r>
    <n v="231"/>
    <x v="6"/>
    <s v="L"/>
    <x v="2"/>
    <x v="2"/>
    <n v="67"/>
    <x v="1"/>
    <x v="1"/>
    <s v="R"/>
    <s v="H"/>
    <s v="T"/>
    <s v="22.08.17"/>
    <n v="21"/>
    <s v="m.Centrum"/>
    <x v="1"/>
  </r>
  <r>
    <n v="232"/>
    <x v="6"/>
    <s v="L"/>
    <x v="1"/>
    <x v="2"/>
    <n v="38"/>
    <x v="1"/>
    <x v="1"/>
    <s v="R"/>
    <s v="H"/>
    <s v="B"/>
    <s v="22.08.17"/>
    <n v="21"/>
    <s v="m.Centrum"/>
    <x v="1"/>
  </r>
  <r>
    <n v="233"/>
    <x v="6"/>
    <s v="L"/>
    <x v="1"/>
    <x v="2"/>
    <n v="44"/>
    <x v="1"/>
    <x v="1"/>
    <s v="R"/>
    <s v="H"/>
    <s v="T"/>
    <s v="22.08.17"/>
    <n v="21"/>
    <s v="m.Swieto"/>
    <x v="1"/>
  </r>
  <r>
    <n v="234"/>
    <x v="6"/>
    <s v="P"/>
    <x v="1"/>
    <x v="1"/>
    <n v="24"/>
    <x v="3"/>
    <x v="1"/>
    <s v="M5"/>
    <s v="H"/>
    <s v="B"/>
    <s v="22.08.17"/>
    <n v="21"/>
    <s v="m.Centrum"/>
    <x v="1"/>
  </r>
  <r>
    <n v="235"/>
    <x v="4"/>
    <s v="P"/>
    <x v="2"/>
    <x v="1"/>
    <n v="24"/>
    <x v="1"/>
    <x v="1"/>
    <s v="R"/>
    <s v="T"/>
    <s v="H"/>
    <s v="22.08.17"/>
    <n v="21"/>
    <s v="m.Centrum"/>
    <x v="1"/>
  </r>
  <r>
    <n v="236"/>
    <x v="6"/>
    <s v="L"/>
    <x v="2"/>
    <x v="1"/>
    <n v="66"/>
    <x v="1"/>
    <x v="1"/>
    <s v="R"/>
    <s v="H"/>
    <s v="T"/>
    <s v="22.08.17"/>
    <n v="21"/>
    <s v="m.Swieto"/>
    <x v="1"/>
  </r>
  <r>
    <n v="237"/>
    <x v="2"/>
    <s v="L"/>
    <x v="2"/>
    <x v="1"/>
    <n v="54"/>
    <x v="1"/>
    <x v="1"/>
    <s v="R"/>
    <s v="H"/>
    <s v="T"/>
    <s v="22.08.17"/>
    <n v="21"/>
    <s v="m.Swieto"/>
    <x v="1"/>
  </r>
  <r>
    <n v="238"/>
    <x v="2"/>
    <s v="L"/>
    <x v="2"/>
    <x v="1"/>
    <n v="64"/>
    <x v="1"/>
    <x v="1"/>
    <s v="R"/>
    <s v="H"/>
    <s v="T"/>
    <s v="23.08.17"/>
    <n v="21"/>
    <s v="Zel/Soli"/>
    <x v="1"/>
  </r>
  <r>
    <n v="239"/>
    <x v="2"/>
    <s v="L"/>
    <x v="2"/>
    <x v="1"/>
    <n v="31"/>
    <x v="5"/>
    <x v="1"/>
    <s v="H1"/>
    <s v="T"/>
    <s v="B"/>
    <s v="23.08.17"/>
    <n v="21"/>
    <s v="ZloteTarasy"/>
    <x v="1"/>
  </r>
  <r>
    <n v="240"/>
    <x v="2"/>
    <s v="L"/>
    <x v="2"/>
    <x v="1"/>
    <n v="48"/>
    <x v="5"/>
    <x v="1"/>
    <s v="H1"/>
    <s v="T"/>
    <s v="T"/>
    <s v="23.08.17"/>
    <n v="21"/>
    <s v="Zel/Soli"/>
    <x v="1"/>
  </r>
  <r>
    <n v="241"/>
    <x v="2"/>
    <s v="L"/>
    <x v="1"/>
    <x v="2"/>
    <n v="72"/>
    <x v="1"/>
    <x v="1"/>
    <s v="R"/>
    <s v="H"/>
    <s v="T"/>
    <s v="23.08.17"/>
    <n v="21"/>
    <s v="Zel/Soli"/>
    <x v="1"/>
  </r>
  <r>
    <n v="242"/>
    <x v="2"/>
    <s v="P"/>
    <x v="1"/>
    <x v="2"/>
    <n v="43"/>
    <x v="1"/>
    <x v="1"/>
    <s v="R"/>
    <s v="H"/>
    <s v="T"/>
    <s v="23.08.17"/>
    <n v="21"/>
    <s v="Zel/Soli"/>
    <x v="1"/>
  </r>
  <r>
    <n v="243"/>
    <x v="5"/>
    <s v="L"/>
    <x v="2"/>
    <x v="1"/>
    <n v="50"/>
    <x v="1"/>
    <x v="1"/>
    <s v="R"/>
    <s v="H"/>
    <s v="T"/>
    <s v="23.08.17"/>
    <n v="21"/>
    <s v="Zel/Soli"/>
    <x v="1"/>
  </r>
  <r>
    <n v="244"/>
    <x v="5"/>
    <s v="L"/>
    <x v="2"/>
    <x v="2"/>
    <n v="28"/>
    <x v="1"/>
    <x v="1"/>
    <s v="R"/>
    <s v="T"/>
    <s v="B"/>
    <s v="23.08.17"/>
    <n v="21"/>
    <s v="ZloteTarasy"/>
    <x v="1"/>
  </r>
  <r>
    <n v="245"/>
    <x v="5"/>
    <s v="L"/>
    <x v="2"/>
    <x v="1"/>
    <n v="39"/>
    <x v="2"/>
    <x v="2"/>
    <s v="R"/>
    <s v="T"/>
    <s v="T"/>
    <s v="23.08.17"/>
    <n v="21"/>
    <s v="Zel/Soli"/>
    <x v="1"/>
  </r>
  <r>
    <n v="246"/>
    <x v="5"/>
    <s v="L"/>
    <x v="1"/>
    <x v="1"/>
    <n v="38"/>
    <x v="1"/>
    <x v="1"/>
    <s v="R"/>
    <s v="H"/>
    <s v="H"/>
    <s v="23.08.17"/>
    <n v="21"/>
    <s v="ZloteTarasy"/>
    <x v="1"/>
  </r>
  <r>
    <n v="247"/>
    <x v="5"/>
    <s v="L"/>
    <x v="1"/>
    <x v="2"/>
    <n v="36"/>
    <x v="2"/>
    <x v="1"/>
    <s v="H5"/>
    <s v="H"/>
    <s v="T"/>
    <s v="23.08.17"/>
    <n v="21"/>
    <s v="ZloteTarasy"/>
    <x v="1"/>
  </r>
  <r>
    <n v="248"/>
    <x v="5"/>
    <s v="L"/>
    <x v="1"/>
    <x v="2"/>
    <n v="43"/>
    <x v="2"/>
    <x v="2"/>
    <s v="R"/>
    <s v="H"/>
    <s v="B"/>
    <s v="23.08.17"/>
    <n v="21"/>
    <s v="Zel/Soli"/>
    <x v="1"/>
  </r>
  <r>
    <n v="249"/>
    <x v="5"/>
    <s v="L"/>
    <x v="1"/>
    <x v="1"/>
    <n v="64"/>
    <x v="1"/>
    <x v="1"/>
    <s v="R"/>
    <s v="T"/>
    <s v="H"/>
    <s v="23.08.17"/>
    <n v="21"/>
    <s v="Zel/Soli"/>
    <x v="1"/>
  </r>
  <r>
    <n v="250"/>
    <x v="3"/>
    <s v="L"/>
    <x v="2"/>
    <x v="1"/>
    <n v="58"/>
    <x v="1"/>
    <x v="1"/>
    <s v="R"/>
    <s v="H"/>
    <s v="T"/>
    <s v="23.08.17"/>
    <n v="21"/>
    <s v="Zel/Soli"/>
    <x v="1"/>
  </r>
  <r>
    <n v="251"/>
    <x v="3"/>
    <s v="P"/>
    <x v="2"/>
    <x v="2"/>
    <n v="64"/>
    <x v="1"/>
    <x v="1"/>
    <s v="R"/>
    <s v="H"/>
    <s v="T"/>
    <s v="23.08.17"/>
    <n v="21"/>
    <s v="Zel/Soli"/>
    <x v="1"/>
  </r>
  <r>
    <n v="252"/>
    <x v="4"/>
    <s v="L"/>
    <x v="1"/>
    <x v="1"/>
    <n v="55"/>
    <x v="4"/>
    <x v="2"/>
    <s v="R"/>
    <s v="T"/>
    <s v="B"/>
    <s v="23.08.17"/>
    <n v="21"/>
    <s v="Zel/Soli"/>
    <x v="1"/>
  </r>
  <r>
    <n v="253"/>
    <x v="4"/>
    <s v="P"/>
    <x v="1"/>
    <x v="2"/>
    <n v="81"/>
    <x v="1"/>
    <x v="1"/>
    <s v="R"/>
    <s v="T"/>
    <s v="H"/>
    <s v="23.08.17"/>
    <n v="21"/>
    <s v="Zel/Soli"/>
    <x v="1"/>
  </r>
  <r>
    <n v="254"/>
    <x v="2"/>
    <s v="L"/>
    <x v="2"/>
    <x v="1"/>
    <n v="65"/>
    <x v="1"/>
    <x v="1"/>
    <s v="R"/>
    <s v="H"/>
    <s v="H"/>
    <s v="11.09.17"/>
    <n v="14"/>
    <s v="dw.Centralny"/>
    <x v="2"/>
  </r>
  <r>
    <n v="255"/>
    <x v="2"/>
    <s v="L"/>
    <x v="2"/>
    <x v="2"/>
    <n v="35"/>
    <x v="1"/>
    <x v="1"/>
    <s v="R"/>
    <s v="H"/>
    <s v="H"/>
    <s v="11.09.17"/>
    <n v="14"/>
    <s v="dw.Centralny"/>
    <x v="2"/>
  </r>
  <r>
    <n v="256"/>
    <x v="2"/>
    <s v="L"/>
    <x v="2"/>
    <x v="1"/>
    <n v="23"/>
    <x v="1"/>
    <x v="2"/>
    <s v="H1"/>
    <s v="T"/>
    <s v="B"/>
    <s v="11.09.17"/>
    <n v="14"/>
    <s v="ZloteTarasy"/>
    <x v="2"/>
  </r>
  <r>
    <n v="257"/>
    <x v="2"/>
    <s v="L"/>
    <x v="2"/>
    <x v="2"/>
    <n v="62"/>
    <x v="1"/>
    <x v="1"/>
    <s v="R"/>
    <s v="T"/>
    <s v="B"/>
    <s v="11.09.17"/>
    <n v="21"/>
    <s v="dw.Centralny"/>
    <x v="2"/>
  </r>
  <r>
    <n v="258"/>
    <x v="2"/>
    <s v="L"/>
    <x v="1"/>
    <x v="2"/>
    <n v="22"/>
    <x v="1"/>
    <x v="1"/>
    <s v="R"/>
    <s v="H"/>
    <s v="T"/>
    <s v="11.09.17"/>
    <n v="21"/>
    <s v="dw.Centralny"/>
    <x v="2"/>
  </r>
  <r>
    <n v="259"/>
    <x v="2"/>
    <s v="L"/>
    <x v="1"/>
    <x v="2"/>
    <n v="18"/>
    <x v="5"/>
    <x v="2"/>
    <s v="R"/>
    <s v="T"/>
    <s v="T"/>
    <s v="11.09.17"/>
    <n v="14"/>
    <s v="dw.Centralny"/>
    <x v="2"/>
  </r>
  <r>
    <n v="260"/>
    <x v="2"/>
    <s v="P"/>
    <x v="2"/>
    <x v="1"/>
    <n v="56"/>
    <x v="5"/>
    <x v="1"/>
    <s v="H1"/>
    <s v="H"/>
    <s v="T"/>
    <s v="11.09.17"/>
    <n v="21"/>
    <s v="dw.Centralny"/>
    <x v="2"/>
  </r>
  <r>
    <n v="261"/>
    <x v="2"/>
    <s v="P"/>
    <x v="2"/>
    <x v="1"/>
    <n v="33"/>
    <x v="1"/>
    <x v="2"/>
    <s v="H1"/>
    <s v="H"/>
    <s v="B"/>
    <s v="11.09.17"/>
    <n v="21"/>
    <s v="dw.Centralny"/>
    <x v="2"/>
  </r>
  <r>
    <n v="262"/>
    <x v="2"/>
    <s v="P"/>
    <x v="2"/>
    <x v="2"/>
    <n v="25"/>
    <x v="1"/>
    <x v="1"/>
    <s v="R"/>
    <s v="H"/>
    <s v="H"/>
    <s v="11.09.17"/>
    <n v="21"/>
    <s v="ZloteTarasy"/>
    <x v="2"/>
  </r>
  <r>
    <n v="263"/>
    <x v="2"/>
    <s v="P"/>
    <x v="2"/>
    <x v="2"/>
    <n v="29"/>
    <x v="5"/>
    <x v="1"/>
    <s v="H1"/>
    <s v="T"/>
    <s v="H"/>
    <s v="13.09.17"/>
    <n v="21"/>
    <s v="m.Centrum"/>
    <x v="2"/>
  </r>
  <r>
    <n v="264"/>
    <x v="2"/>
    <s v="P"/>
    <x v="2"/>
    <x v="2"/>
    <n v="27"/>
    <x v="1"/>
    <x v="2"/>
    <s v="H1"/>
    <s v="T"/>
    <s v="H"/>
    <s v="13.09.17"/>
    <n v="21"/>
    <s v="ZloteTarasy"/>
    <x v="2"/>
  </r>
  <r>
    <n v="265"/>
    <x v="2"/>
    <s v="P"/>
    <x v="2"/>
    <x v="2"/>
    <n v="59"/>
    <x v="1"/>
    <x v="1"/>
    <s v="R"/>
    <s v="T"/>
    <s v="T"/>
    <s v="11.09.17"/>
    <n v="21"/>
    <s v="dw.Centralny"/>
    <x v="2"/>
  </r>
  <r>
    <n v="266"/>
    <x v="2"/>
    <s v="P"/>
    <x v="1"/>
    <x v="2"/>
    <n v="20"/>
    <x v="5"/>
    <x v="1"/>
    <s v="H1"/>
    <s v="H"/>
    <s v="T"/>
    <s v="11.09.17"/>
    <n v="14"/>
    <s v="ZloteTarasy"/>
    <x v="2"/>
  </r>
  <r>
    <n v="267"/>
    <x v="2"/>
    <s v="P"/>
    <x v="1"/>
    <x v="1"/>
    <n v="37"/>
    <x v="5"/>
    <x v="1"/>
    <s v="H1"/>
    <s v="H"/>
    <s v="H"/>
    <s v="11.09.17"/>
    <n v="14"/>
    <s v="dw.Centralny"/>
    <x v="2"/>
  </r>
  <r>
    <n v="268"/>
    <x v="2"/>
    <s v="P"/>
    <x v="1"/>
    <x v="2"/>
    <n v="21"/>
    <x v="5"/>
    <x v="2"/>
    <s v="R"/>
    <s v="T"/>
    <s v="B"/>
    <s v="11.09.17"/>
    <n v="21"/>
    <s v="ZloteTarasy"/>
    <x v="2"/>
  </r>
  <r>
    <n v="269"/>
    <x v="2"/>
    <s v="P"/>
    <x v="1"/>
    <x v="1"/>
    <n v="62"/>
    <x v="1"/>
    <x v="1"/>
    <s v="R"/>
    <s v="T"/>
    <s v="H"/>
    <s v="11.09.17"/>
    <n v="21"/>
    <s v="dw.Centralny"/>
    <x v="2"/>
  </r>
  <r>
    <n v="270"/>
    <x v="5"/>
    <s v="L"/>
    <x v="2"/>
    <x v="1"/>
    <n v="30"/>
    <x v="1"/>
    <x v="1"/>
    <s v="R"/>
    <s v="H"/>
    <s v="B"/>
    <s v="11.09.17"/>
    <n v="14"/>
    <s v="m.Centrum"/>
    <x v="2"/>
  </r>
  <r>
    <n v="271"/>
    <x v="5"/>
    <s v="L"/>
    <x v="2"/>
    <x v="2"/>
    <n v="66"/>
    <x v="1"/>
    <x v="1"/>
    <s v="R"/>
    <s v="H"/>
    <s v="H"/>
    <s v="11.09.17"/>
    <n v="14"/>
    <s v="dw.Centralny"/>
    <x v="2"/>
  </r>
  <r>
    <n v="272"/>
    <x v="5"/>
    <s v="L"/>
    <x v="2"/>
    <x v="1"/>
    <n v="63"/>
    <x v="2"/>
    <x v="1"/>
    <s v="H5"/>
    <s v="H"/>
    <s v="B"/>
    <s v="11.09.17"/>
    <n v="14"/>
    <s v="dw.Centralny"/>
    <x v="2"/>
  </r>
  <r>
    <n v="273"/>
    <x v="5"/>
    <s v="L"/>
    <x v="2"/>
    <x v="1"/>
    <n v="20"/>
    <x v="1"/>
    <x v="1"/>
    <s v="R"/>
    <s v="T"/>
    <s v="B"/>
    <s v="11.09.17"/>
    <n v="14"/>
    <s v="m.Centrum"/>
    <x v="2"/>
  </r>
  <r>
    <n v="274"/>
    <x v="5"/>
    <s v="L"/>
    <x v="2"/>
    <x v="1"/>
    <n v="23"/>
    <x v="2"/>
    <x v="2"/>
    <s v="R"/>
    <s v="T"/>
    <s v="B"/>
    <s v="11.09.17"/>
    <n v="14"/>
    <s v="dw.Centralny"/>
    <x v="2"/>
  </r>
  <r>
    <n v="275"/>
    <x v="5"/>
    <s v="L"/>
    <x v="1"/>
    <x v="2"/>
    <n v="22"/>
    <x v="1"/>
    <x v="1"/>
    <s v="R"/>
    <s v="H"/>
    <s v="B"/>
    <s v="12.09.17"/>
    <n v="14"/>
    <s v="dw.Centralny"/>
    <x v="2"/>
  </r>
  <r>
    <n v="276"/>
    <x v="5"/>
    <s v="L"/>
    <x v="1"/>
    <x v="1"/>
    <n v="24"/>
    <x v="2"/>
    <x v="1"/>
    <s v="H5"/>
    <s v="H"/>
    <s v="B"/>
    <s v="12.09.17"/>
    <n v="14"/>
    <s v="dw.Centralny"/>
    <x v="2"/>
  </r>
  <r>
    <n v="277"/>
    <x v="5"/>
    <s v="L"/>
    <x v="1"/>
    <x v="1"/>
    <n v="36"/>
    <x v="1"/>
    <x v="1"/>
    <s v="R"/>
    <s v="T"/>
    <s v="B"/>
    <s v="12.09.17"/>
    <n v="14"/>
    <s v="dw.Centralny"/>
    <x v="2"/>
  </r>
  <r>
    <n v="278"/>
    <x v="5"/>
    <s v="L"/>
    <x v="1"/>
    <x v="1"/>
    <n v="55"/>
    <x v="2"/>
    <x v="1"/>
    <s v="H5"/>
    <s v="T"/>
    <s v="H"/>
    <s v="12.09.17"/>
    <n v="14"/>
    <s v="dw.Centralny"/>
    <x v="2"/>
  </r>
  <r>
    <n v="279"/>
    <x v="5"/>
    <s v="L"/>
    <x v="1"/>
    <x v="2"/>
    <n v="64"/>
    <x v="1"/>
    <x v="1"/>
    <s v="R"/>
    <s v="T"/>
    <s v="B"/>
    <s v="11.09.17"/>
    <n v="21"/>
    <s v="dw.Centralny"/>
    <x v="2"/>
  </r>
  <r>
    <n v="280"/>
    <x v="5"/>
    <s v="P"/>
    <x v="2"/>
    <x v="1"/>
    <n v="23"/>
    <x v="2"/>
    <x v="2"/>
    <s v="R"/>
    <s v="H"/>
    <s v="B"/>
    <s v="12.09.17"/>
    <n v="14"/>
    <s v="ZloteTarasy"/>
    <x v="2"/>
  </r>
  <r>
    <n v="281"/>
    <x v="5"/>
    <s v="P"/>
    <x v="2"/>
    <x v="2"/>
    <n v="21"/>
    <x v="2"/>
    <x v="2"/>
    <s v="R"/>
    <s v="H"/>
    <s v="B"/>
    <s v="11.09.17"/>
    <n v="21"/>
    <s v="ZloteTarasy"/>
    <x v="2"/>
  </r>
  <r>
    <n v="282"/>
    <x v="5"/>
    <s v="P"/>
    <x v="2"/>
    <x v="1"/>
    <n v="19"/>
    <x v="2"/>
    <x v="2"/>
    <s v="R"/>
    <s v="H"/>
    <s v="B"/>
    <s v="13.09.17"/>
    <n v="21"/>
    <s v="m.Centrum"/>
    <x v="2"/>
  </r>
  <r>
    <n v="283"/>
    <x v="5"/>
    <s v="P"/>
    <x v="2"/>
    <x v="1"/>
    <n v="35"/>
    <x v="2"/>
    <x v="2"/>
    <s v="R"/>
    <s v="T"/>
    <s v="B"/>
    <s v="11.09.17"/>
    <n v="21"/>
    <s v="ZloteTarasy"/>
    <x v="2"/>
  </r>
  <r>
    <n v="284"/>
    <x v="5"/>
    <s v="P"/>
    <x v="2"/>
    <x v="2"/>
    <n v="18"/>
    <x v="1"/>
    <x v="1"/>
    <s v="R"/>
    <s v="T"/>
    <s v="H"/>
    <s v="13.09.17"/>
    <n v="21"/>
    <s v="m.Centrum"/>
    <x v="2"/>
  </r>
  <r>
    <n v="285"/>
    <x v="1"/>
    <s v="L"/>
    <x v="2"/>
    <x v="2"/>
    <n v="26"/>
    <x v="1"/>
    <x v="1"/>
    <s v="R"/>
    <s v="H"/>
    <s v="H"/>
    <s v="11.09.17"/>
    <n v="14"/>
    <s v="dw.Centralny"/>
    <x v="2"/>
  </r>
  <r>
    <n v="286"/>
    <x v="1"/>
    <s v="L"/>
    <x v="2"/>
    <x v="2"/>
    <n v="24"/>
    <x v="1"/>
    <x v="1"/>
    <s v="R"/>
    <s v="H"/>
    <s v="T"/>
    <s v="11.09.17"/>
    <n v="14"/>
    <s v="dw.Centralny"/>
    <x v="2"/>
  </r>
  <r>
    <n v="287"/>
    <x v="1"/>
    <s v="L"/>
    <x v="2"/>
    <x v="2"/>
    <n v="26"/>
    <x v="1"/>
    <x v="1"/>
    <s v="R"/>
    <s v="H"/>
    <s v="H"/>
    <s v="11.09.17"/>
    <n v="21"/>
    <s v="dw.Centralny"/>
    <x v="2"/>
  </r>
  <r>
    <n v="288"/>
    <x v="1"/>
    <s v="L"/>
    <x v="2"/>
    <x v="2"/>
    <n v="21"/>
    <x v="1"/>
    <x v="1"/>
    <s v="R"/>
    <s v="H"/>
    <s v="T"/>
    <s v="11.09.17"/>
    <n v="21"/>
    <s v="dw.Centralny"/>
    <x v="2"/>
  </r>
  <r>
    <n v="289"/>
    <x v="1"/>
    <s v="L"/>
    <x v="1"/>
    <x v="1"/>
    <n v="30"/>
    <x v="7"/>
    <x v="1"/>
    <s v="L1"/>
    <s v="T"/>
    <s v="H"/>
    <s v="12.09.17"/>
    <n v="14"/>
    <s v="ZloteTarasy"/>
    <x v="2"/>
  </r>
  <r>
    <n v="290"/>
    <x v="1"/>
    <s v="L"/>
    <x v="1"/>
    <x v="1"/>
    <n v="35"/>
    <x v="7"/>
    <x v="1"/>
    <s v="L1"/>
    <s v="H"/>
    <s v="B"/>
    <s v="11.09.17"/>
    <n v="21"/>
    <s v="ZloteTarasy"/>
    <x v="2"/>
  </r>
  <r>
    <n v="291"/>
    <x v="1"/>
    <s v="L"/>
    <x v="1"/>
    <x v="2"/>
    <n v="63"/>
    <x v="7"/>
    <x v="1"/>
    <s v="L1"/>
    <s v="H"/>
    <s v="T"/>
    <s v="11.09.17"/>
    <n v="21"/>
    <s v="dw.Centralny"/>
    <x v="2"/>
  </r>
  <r>
    <n v="292"/>
    <x v="1"/>
    <s v="L"/>
    <x v="1"/>
    <x v="2"/>
    <n v="49"/>
    <x v="1"/>
    <x v="1"/>
    <s v="R"/>
    <s v="T"/>
    <s v="H"/>
    <s v="11.09.17"/>
    <n v="21"/>
    <s v="dw.Centralny"/>
    <x v="2"/>
  </r>
  <r>
    <n v="293"/>
    <x v="1"/>
    <s v="P"/>
    <x v="2"/>
    <x v="1"/>
    <n v="26"/>
    <x v="7"/>
    <x v="1"/>
    <s v="L1"/>
    <s v="H"/>
    <s v="H"/>
    <s v="11.09.17"/>
    <n v="14"/>
    <s v="dw.Centralny"/>
    <x v="2"/>
  </r>
  <r>
    <n v="294"/>
    <x v="1"/>
    <s v="P"/>
    <x v="2"/>
    <x v="2"/>
    <n v="35"/>
    <x v="7"/>
    <x v="1"/>
    <s v="L1"/>
    <s v="H"/>
    <s v="T"/>
    <s v="11.09.17"/>
    <n v="14"/>
    <s v="dw.Centralny"/>
    <x v="2"/>
  </r>
  <r>
    <n v="295"/>
    <x v="1"/>
    <s v="P"/>
    <x v="2"/>
    <x v="2"/>
    <n v="18"/>
    <x v="1"/>
    <x v="1"/>
    <s v="R"/>
    <s v="H"/>
    <s v="T"/>
    <s v="13.09.17"/>
    <n v="21"/>
    <s v="ZloteTarasy"/>
    <x v="2"/>
  </r>
  <r>
    <n v="296"/>
    <x v="1"/>
    <s v="P"/>
    <x v="2"/>
    <x v="2"/>
    <n v="53"/>
    <x v="1"/>
    <x v="1"/>
    <s v="R"/>
    <s v="H"/>
    <s v="B"/>
    <s v="11.09.17"/>
    <n v="21"/>
    <s v="dw.Centralny"/>
    <x v="2"/>
  </r>
  <r>
    <n v="297"/>
    <x v="1"/>
    <s v="P"/>
    <x v="2"/>
    <x v="1"/>
    <n v="65"/>
    <x v="1"/>
    <x v="1"/>
    <s v="R"/>
    <s v="T"/>
    <s v="T"/>
    <s v="11.09.17"/>
    <n v="21"/>
    <s v="dw.Centralny"/>
    <x v="2"/>
  </r>
  <r>
    <n v="298"/>
    <x v="1"/>
    <s v="P"/>
    <x v="2"/>
    <x v="2"/>
    <n v="45"/>
    <x v="1"/>
    <x v="1"/>
    <s v="R"/>
    <s v="T"/>
    <s v="T"/>
    <s v="11.09.17"/>
    <n v="21"/>
    <s v="dw.Centralny"/>
    <x v="2"/>
  </r>
  <r>
    <n v="299"/>
    <x v="1"/>
    <s v="P"/>
    <x v="1"/>
    <x v="1"/>
    <n v="19"/>
    <x v="7"/>
    <x v="2"/>
    <s v="R"/>
    <s v="H"/>
    <s v="H"/>
    <s v="13.09.17"/>
    <n v="21"/>
    <s v="ZloteTarasy"/>
    <x v="2"/>
  </r>
  <r>
    <n v="300"/>
    <x v="1"/>
    <s v="P"/>
    <x v="1"/>
    <x v="2"/>
    <n v="29"/>
    <x v="7"/>
    <x v="1"/>
    <s v="L1"/>
    <s v="T"/>
    <s v="H"/>
    <s v="13.09.17"/>
    <n v="21"/>
    <s v="ZloteTarasy"/>
    <x v="2"/>
  </r>
  <r>
    <n v="301"/>
    <x v="1"/>
    <s v="P"/>
    <x v="1"/>
    <x v="1"/>
    <n v="29"/>
    <x v="7"/>
    <x v="1"/>
    <s v="L1"/>
    <s v="T"/>
    <s v="T"/>
    <s v="13.09.17"/>
    <n v="21"/>
    <s v="dw.Centralny"/>
    <x v="2"/>
  </r>
  <r>
    <n v="302"/>
    <x v="3"/>
    <s v="L"/>
    <x v="2"/>
    <x v="2"/>
    <n v="24"/>
    <x v="1"/>
    <x v="1"/>
    <s v="R"/>
    <s v="T"/>
    <s v="B"/>
    <s v="12.09.17"/>
    <n v="14"/>
    <s v="dw.Centralny"/>
    <x v="2"/>
  </r>
  <r>
    <n v="303"/>
    <x v="3"/>
    <s v="L"/>
    <x v="2"/>
    <x v="2"/>
    <n v="28"/>
    <x v="1"/>
    <x v="1"/>
    <s v="R"/>
    <s v="T"/>
    <s v="H"/>
    <s v="12.09.17"/>
    <n v="14"/>
    <s v="dw.Centralny"/>
    <x v="2"/>
  </r>
  <r>
    <n v="304"/>
    <x v="3"/>
    <s v="L"/>
    <x v="2"/>
    <x v="2"/>
    <n v="34"/>
    <x v="1"/>
    <x v="1"/>
    <s v="R"/>
    <s v="T"/>
    <n v="0"/>
    <s v="12.09.17"/>
    <n v="14"/>
    <s v="dw.Centralny"/>
    <x v="2"/>
  </r>
  <r>
    <n v="305"/>
    <x v="3"/>
    <s v="L"/>
    <x v="2"/>
    <x v="2"/>
    <n v="72"/>
    <x v="1"/>
    <x v="1"/>
    <s v="R"/>
    <s v="H"/>
    <s v="T"/>
    <s v="11.09.17"/>
    <n v="21"/>
    <s v="dw.Centralny"/>
    <x v="2"/>
  </r>
  <r>
    <n v="306"/>
    <x v="3"/>
    <s v="L"/>
    <x v="2"/>
    <x v="2"/>
    <n v="21"/>
    <x v="6"/>
    <x v="1"/>
    <s v="L5"/>
    <s v="H"/>
    <s v="H"/>
    <s v="11.09.17"/>
    <n v="21"/>
    <s v="dw.Centralny"/>
    <x v="2"/>
  </r>
  <r>
    <n v="307"/>
    <x v="3"/>
    <s v="L"/>
    <x v="1"/>
    <x v="1"/>
    <n v="19"/>
    <x v="1"/>
    <x v="1"/>
    <s v="R"/>
    <s v="H"/>
    <s v="B"/>
    <s v="11.09.17"/>
    <n v="14"/>
    <s v="m.Centrum"/>
    <x v="2"/>
  </r>
  <r>
    <n v="308"/>
    <x v="3"/>
    <s v="L"/>
    <x v="1"/>
    <x v="2"/>
    <n v="22"/>
    <x v="6"/>
    <x v="1"/>
    <s v="L5"/>
    <s v="H"/>
    <s v="H"/>
    <s v="13.09.17"/>
    <n v="21"/>
    <s v="m.Centrum"/>
    <x v="2"/>
  </r>
  <r>
    <n v="309"/>
    <x v="3"/>
    <s v="L"/>
    <x v="1"/>
    <x v="2"/>
    <n v="62"/>
    <x v="6"/>
    <x v="1"/>
    <s v="L5"/>
    <s v="H"/>
    <s v="B"/>
    <s v="13.09.17"/>
    <n v="21"/>
    <s v="dw.Centralny"/>
    <x v="2"/>
  </r>
  <r>
    <n v="310"/>
    <x v="3"/>
    <s v="L"/>
    <x v="1"/>
    <x v="1"/>
    <n v="19"/>
    <x v="1"/>
    <x v="1"/>
    <s v="R"/>
    <s v="T"/>
    <s v="B"/>
    <s v="13.09.17"/>
    <n v="21"/>
    <s v="m.Centrum"/>
    <x v="2"/>
  </r>
  <r>
    <n v="311"/>
    <x v="3"/>
    <s v="L"/>
    <x v="1"/>
    <x v="1"/>
    <n v="24"/>
    <x v="1"/>
    <x v="1"/>
    <s v="R"/>
    <s v="T"/>
    <s v="T"/>
    <s v="13.09.17"/>
    <n v="21"/>
    <s v="dw.Centralny"/>
    <x v="2"/>
  </r>
  <r>
    <n v="312"/>
    <x v="3"/>
    <s v="P"/>
    <x v="2"/>
    <x v="2"/>
    <n v="22"/>
    <x v="1"/>
    <x v="1"/>
    <s v="R"/>
    <s v="T"/>
    <s v="B"/>
    <s v="11.09.17"/>
    <n v="14"/>
    <s v="ZloteTarasy"/>
    <x v="2"/>
  </r>
  <r>
    <n v="313"/>
    <x v="3"/>
    <s v="P"/>
    <x v="2"/>
    <x v="2"/>
    <n v="48"/>
    <x v="1"/>
    <x v="1"/>
    <s v="R"/>
    <s v="T"/>
    <s v="B"/>
    <s v="12.09.17"/>
    <n v="14"/>
    <s v="dw.Centralny"/>
    <x v="2"/>
  </r>
  <r>
    <n v="314"/>
    <x v="3"/>
    <s v="P"/>
    <x v="2"/>
    <x v="1"/>
    <n v="18"/>
    <x v="1"/>
    <x v="1"/>
    <s v="R"/>
    <s v="H"/>
    <s v="T"/>
    <s v="11.09.17"/>
    <n v="21"/>
    <s v="ZloteTarasy"/>
    <x v="2"/>
  </r>
  <r>
    <n v="315"/>
    <x v="3"/>
    <s v="P"/>
    <x v="1"/>
    <x v="2"/>
    <n v="22"/>
    <x v="1"/>
    <x v="1"/>
    <s v="R"/>
    <s v="T"/>
    <s v="H"/>
    <s v="11.09.17"/>
    <n v="14"/>
    <s v="ZloteTarasy"/>
    <x v="2"/>
  </r>
  <r>
    <n v="316"/>
    <x v="3"/>
    <s v="P"/>
    <x v="1"/>
    <x v="2"/>
    <n v="52"/>
    <x v="6"/>
    <x v="1"/>
    <s v="L5"/>
    <s v="T"/>
    <s v="T"/>
    <s v="12.09.17"/>
    <n v="14"/>
    <s v="dw.Centralny"/>
    <x v="2"/>
  </r>
  <r>
    <n v="317"/>
    <x v="3"/>
    <s v="P"/>
    <x v="1"/>
    <x v="1"/>
    <n v="18"/>
    <x v="6"/>
    <x v="1"/>
    <s v="L5"/>
    <s v="H"/>
    <s v="T"/>
    <s v="11.09.17"/>
    <n v="21"/>
    <s v="ZloteTarasy"/>
    <x v="2"/>
  </r>
  <r>
    <n v="318"/>
    <x v="4"/>
    <s v="L"/>
    <x v="2"/>
    <x v="1"/>
    <n v="61"/>
    <x v="4"/>
    <x v="1"/>
    <s v="M1"/>
    <s v="H"/>
    <s v="T"/>
    <s v="11.09.17"/>
    <n v="14"/>
    <s v="dw.Centralny"/>
    <x v="2"/>
  </r>
  <r>
    <n v="319"/>
    <x v="4"/>
    <s v="L"/>
    <x v="2"/>
    <x v="1"/>
    <n v="67"/>
    <x v="1"/>
    <x v="2"/>
    <s v="M1"/>
    <s v="H"/>
    <s v="H"/>
    <s v="11.09.17"/>
    <n v="14"/>
    <s v="dw.Centralny"/>
    <x v="2"/>
  </r>
  <r>
    <n v="320"/>
    <x v="4"/>
    <s v="L"/>
    <x v="2"/>
    <x v="1"/>
    <n v="22"/>
    <x v="4"/>
    <x v="1"/>
    <s v="M1"/>
    <s v="T"/>
    <s v="B"/>
    <s v="11.09.17"/>
    <n v="14"/>
    <s v="dw.Centralny"/>
    <x v="2"/>
  </r>
  <r>
    <n v="321"/>
    <x v="4"/>
    <s v="L"/>
    <x v="2"/>
    <x v="2"/>
    <n v="36"/>
    <x v="1"/>
    <x v="1"/>
    <s v="R"/>
    <s v="T"/>
    <s v="H"/>
    <s v="11.09.17"/>
    <n v="14"/>
    <s v="dw.Centralny"/>
    <x v="2"/>
  </r>
  <r>
    <n v="322"/>
    <x v="4"/>
    <s v="L"/>
    <x v="1"/>
    <x v="1"/>
    <n v="19"/>
    <x v="1"/>
    <x v="2"/>
    <s v="M1"/>
    <s v="H"/>
    <s v="B"/>
    <s v="11.09.17"/>
    <n v="14"/>
    <s v="m.Centrum"/>
    <x v="2"/>
  </r>
  <r>
    <n v="323"/>
    <x v="4"/>
    <s v="L"/>
    <x v="1"/>
    <x v="1"/>
    <n v="29"/>
    <x v="1"/>
    <x v="2"/>
    <s v="M1"/>
    <s v="H"/>
    <s v="B"/>
    <s v="12.09.17"/>
    <n v="14"/>
    <s v="dw.Centralny"/>
    <x v="2"/>
  </r>
  <r>
    <n v="324"/>
    <x v="4"/>
    <s v="L"/>
    <x v="1"/>
    <x v="2"/>
    <n v="60"/>
    <x v="1"/>
    <x v="1"/>
    <s v="R"/>
    <s v="T"/>
    <s v="H"/>
    <s v="12.09.17"/>
    <n v="14"/>
    <s v="dw.Centralny"/>
    <x v="2"/>
  </r>
  <r>
    <n v="325"/>
    <x v="4"/>
    <s v="L"/>
    <x v="1"/>
    <x v="2"/>
    <n v="65"/>
    <x v="1"/>
    <x v="1"/>
    <s v="R"/>
    <s v="T"/>
    <s v="T"/>
    <s v="12.09.17"/>
    <n v="14"/>
    <s v="dw.Centralny"/>
    <x v="2"/>
  </r>
  <r>
    <n v="326"/>
    <x v="4"/>
    <s v="L"/>
    <x v="1"/>
    <x v="1"/>
    <n v="21"/>
    <x v="1"/>
    <x v="1"/>
    <s v="R"/>
    <s v="T"/>
    <s v="B"/>
    <s v="13.09.17"/>
    <n v="21"/>
    <s v="m.Centrum"/>
    <x v="2"/>
  </r>
  <r>
    <n v="327"/>
    <x v="4"/>
    <s v="P"/>
    <x v="2"/>
    <x v="2"/>
    <n v="60"/>
    <x v="1"/>
    <x v="1"/>
    <s v="R"/>
    <s v="T"/>
    <s v="T"/>
    <s v="12.09.17"/>
    <n v="14"/>
    <s v="dw.Centralny"/>
    <x v="2"/>
  </r>
  <r>
    <n v="328"/>
    <x v="4"/>
    <s v="P"/>
    <x v="2"/>
    <x v="2"/>
    <n v="62"/>
    <x v="1"/>
    <x v="1"/>
    <s v="R"/>
    <s v="H"/>
    <s v="H"/>
    <s v="13.09.17"/>
    <n v="21"/>
    <s v="ZloteTarasy"/>
    <x v="2"/>
  </r>
  <r>
    <n v="329"/>
    <x v="4"/>
    <s v="P"/>
    <x v="2"/>
    <x v="1"/>
    <n v="23"/>
    <x v="4"/>
    <x v="1"/>
    <s v="M1"/>
    <s v="H"/>
    <s v="T"/>
    <s v="13.09.17"/>
    <n v="21"/>
    <s v="m.Centrum"/>
    <x v="2"/>
  </r>
  <r>
    <n v="330"/>
    <x v="4"/>
    <s v="P"/>
    <x v="2"/>
    <x v="1"/>
    <n v="28"/>
    <x v="4"/>
    <x v="2"/>
    <s v="R"/>
    <s v="H"/>
    <s v="B"/>
    <s v="13.09.17"/>
    <n v="21"/>
    <s v="dw.Centralny"/>
    <x v="2"/>
  </r>
  <r>
    <n v="331"/>
    <x v="4"/>
    <s v="P"/>
    <x v="1"/>
    <x v="2"/>
    <n v="23"/>
    <x v="1"/>
    <x v="2"/>
    <s v="M1"/>
    <s v="H"/>
    <s v="B"/>
    <s v="12.09.17"/>
    <n v="14"/>
    <s v="dw.Centralny"/>
    <x v="2"/>
  </r>
  <r>
    <n v="332"/>
    <x v="4"/>
    <s v="P"/>
    <x v="1"/>
    <x v="1"/>
    <n v="60"/>
    <x v="1"/>
    <x v="1"/>
    <s v="R"/>
    <s v="H"/>
    <s v="H"/>
    <s v="12.09.17"/>
    <n v="14"/>
    <s v="dw.Centralny"/>
    <x v="2"/>
  </r>
  <r>
    <n v="333"/>
    <x v="4"/>
    <s v="P"/>
    <x v="1"/>
    <x v="1"/>
    <n v="47"/>
    <x v="1"/>
    <x v="2"/>
    <s v="M1"/>
    <s v="T"/>
    <s v="H"/>
    <s v="12.09.17"/>
    <n v="14"/>
    <s v="dw.Centralny"/>
    <x v="2"/>
  </r>
  <r>
    <n v="334"/>
    <x v="4"/>
    <s v="P"/>
    <x v="1"/>
    <x v="1"/>
    <n v="25"/>
    <x v="1"/>
    <x v="1"/>
    <s v="R"/>
    <s v="T"/>
    <s v="H"/>
    <s v="13.09.17"/>
    <n v="21"/>
    <s v="ZloteTarasy"/>
    <x v="2"/>
  </r>
  <r>
    <n v="335"/>
    <x v="4"/>
    <s v="P"/>
    <x v="1"/>
    <x v="1"/>
    <n v="31"/>
    <x v="4"/>
    <x v="2"/>
    <s v="R"/>
    <s v="T"/>
    <s v="H"/>
    <s v="13.09.17"/>
    <n v="21"/>
    <s v="dw.Centralny"/>
    <x v="2"/>
  </r>
  <r>
    <n v="336"/>
    <x v="6"/>
    <s v="L"/>
    <x v="2"/>
    <x v="1"/>
    <n v="29"/>
    <x v="1"/>
    <x v="2"/>
    <s v="M5"/>
    <s v="H"/>
    <s v="B"/>
    <s v="11.09.17"/>
    <n v="14"/>
    <s v="dw.Centralny"/>
    <x v="2"/>
  </r>
  <r>
    <n v="337"/>
    <x v="6"/>
    <s v="L"/>
    <x v="2"/>
    <x v="2"/>
    <n v="26"/>
    <x v="1"/>
    <x v="1"/>
    <s v="R"/>
    <s v="H"/>
    <s v="B"/>
    <s v="11.09.17"/>
    <n v="14"/>
    <s v="dw.Centralny"/>
    <x v="2"/>
  </r>
  <r>
    <n v="338"/>
    <x v="6"/>
    <s v="L"/>
    <x v="2"/>
    <x v="1"/>
    <n v="22"/>
    <x v="3"/>
    <x v="1"/>
    <s v="M5"/>
    <s v="T"/>
    <s v="B"/>
    <s v="11.09.17"/>
    <n v="14"/>
    <s v="m.Centrum"/>
    <x v="2"/>
  </r>
  <r>
    <n v="339"/>
    <x v="6"/>
    <s v="L"/>
    <x v="2"/>
    <x v="1"/>
    <n v="33"/>
    <x v="3"/>
    <x v="1"/>
    <s v="M5"/>
    <s v="T"/>
    <s v="T"/>
    <s v="11.09.17"/>
    <n v="14"/>
    <s v="dw.Centralny"/>
    <x v="2"/>
  </r>
  <r>
    <n v="340"/>
    <x v="6"/>
    <s v="L"/>
    <x v="2"/>
    <x v="2"/>
    <n v="65"/>
    <x v="1"/>
    <x v="1"/>
    <s v="R"/>
    <s v="H"/>
    <s v="H"/>
    <s v="13.09.17"/>
    <n v="21"/>
    <s v="dw.Centralny"/>
    <x v="2"/>
  </r>
  <r>
    <n v="341"/>
    <x v="6"/>
    <s v="L"/>
    <x v="1"/>
    <x v="1"/>
    <n v="35"/>
    <x v="1"/>
    <x v="1"/>
    <s v="R"/>
    <s v="H"/>
    <s v="B"/>
    <s v="11.09.17"/>
    <n v="14"/>
    <s v="ZloteTarasy"/>
    <x v="2"/>
  </r>
  <r>
    <n v="342"/>
    <x v="6"/>
    <s v="L"/>
    <x v="1"/>
    <x v="1"/>
    <n v="53"/>
    <x v="1"/>
    <x v="1"/>
    <s v="R"/>
    <s v="H"/>
    <s v="T"/>
    <s v="12.09.17"/>
    <n v="14"/>
    <s v="dw.Centralny"/>
    <x v="2"/>
  </r>
  <r>
    <n v="343"/>
    <x v="6"/>
    <s v="L"/>
    <x v="1"/>
    <x v="2"/>
    <n v="56"/>
    <x v="3"/>
    <x v="1"/>
    <s v="M5"/>
    <s v="T"/>
    <s v="H"/>
    <s v="11.09.17"/>
    <n v="14"/>
    <s v="ZloteTarasy"/>
    <x v="2"/>
  </r>
  <r>
    <n v="344"/>
    <x v="6"/>
    <s v="L"/>
    <x v="1"/>
    <x v="1"/>
    <n v="37"/>
    <x v="1"/>
    <x v="1"/>
    <s v="R"/>
    <s v="H"/>
    <s v="B"/>
    <s v="13.09.17"/>
    <n v="21"/>
    <s v="dw.Centralny"/>
    <x v="2"/>
  </r>
  <r>
    <n v="345"/>
    <x v="6"/>
    <s v="P"/>
    <x v="2"/>
    <x v="1"/>
    <n v="28"/>
    <x v="3"/>
    <x v="1"/>
    <s v="M5"/>
    <s v="H"/>
    <s v="B"/>
    <s v="12.09.17"/>
    <n v="14"/>
    <s v="dw.Centralny"/>
    <x v="2"/>
  </r>
  <r>
    <n v="346"/>
    <x v="6"/>
    <s v="P"/>
    <x v="2"/>
    <x v="2"/>
    <n v="22"/>
    <x v="3"/>
    <x v="1"/>
    <s v="M5"/>
    <s v="H"/>
    <s v="B"/>
    <s v="11.09.17"/>
    <n v="21"/>
    <s v="ZloteTarasy"/>
    <x v="2"/>
  </r>
  <r>
    <n v="347"/>
    <x v="6"/>
    <s v="P"/>
    <x v="2"/>
    <x v="1"/>
    <n v="39"/>
    <x v="1"/>
    <x v="1"/>
    <s v="R"/>
    <s v="H"/>
    <s v="B"/>
    <s v="13.09.17"/>
    <n v="21"/>
    <s v="dw.Centralny"/>
    <x v="2"/>
  </r>
  <r>
    <n v="348"/>
    <x v="6"/>
    <s v="P"/>
    <x v="2"/>
    <x v="1"/>
    <n v="27"/>
    <x v="1"/>
    <x v="1"/>
    <s v="R"/>
    <s v="T"/>
    <s v="B"/>
    <s v="13.09.17"/>
    <n v="21"/>
    <s v="ZloteTarasy"/>
    <x v="2"/>
  </r>
  <r>
    <n v="349"/>
    <x v="6"/>
    <s v="P"/>
    <x v="2"/>
    <x v="1"/>
    <n v="24"/>
    <x v="3"/>
    <x v="1"/>
    <s v="M5"/>
    <s v="T"/>
    <s v="T"/>
    <s v="13.09.17"/>
    <n v="21"/>
    <s v="m.Centrum"/>
    <x v="2"/>
  </r>
  <r>
    <n v="350"/>
    <x v="6"/>
    <s v="P"/>
    <x v="2"/>
    <x v="2"/>
    <n v="28"/>
    <x v="1"/>
    <x v="1"/>
    <s v="R"/>
    <s v="T"/>
    <s v="H"/>
    <s v="13.09.17"/>
    <n v="21"/>
    <s v="dw.Centralny"/>
    <x v="2"/>
  </r>
  <r>
    <n v="351"/>
    <x v="6"/>
    <s v="P"/>
    <x v="1"/>
    <x v="2"/>
    <n v="50"/>
    <x v="1"/>
    <x v="1"/>
    <s v="R"/>
    <s v="H"/>
    <s v="T"/>
    <s v="12.09.17"/>
    <n v="14"/>
    <s v="dw.Centralny"/>
    <x v="2"/>
  </r>
  <r>
    <n v="352"/>
    <x v="6"/>
    <s v="P"/>
    <x v="1"/>
    <x v="2"/>
    <n v="62"/>
    <x v="1"/>
    <x v="1"/>
    <s v="R"/>
    <s v="H"/>
    <s v="H"/>
    <s v="12.09.17"/>
    <n v="14"/>
    <s v="dw.Centralny"/>
    <x v="2"/>
  </r>
  <r>
    <n v="353"/>
    <x v="6"/>
    <s v="P"/>
    <x v="1"/>
    <x v="2"/>
    <n v="25"/>
    <x v="1"/>
    <x v="1"/>
    <s v="R"/>
    <s v="T"/>
    <s v="H"/>
    <s v="12.09.17"/>
    <n v="14"/>
    <s v="dw.Centralny"/>
    <x v="2"/>
  </r>
  <r>
    <n v="354"/>
    <x v="6"/>
    <s v="P"/>
    <x v="1"/>
    <x v="2"/>
    <n v="25"/>
    <x v="1"/>
    <x v="1"/>
    <s v="R"/>
    <s v="T"/>
    <s v="B"/>
    <s v="12.09.17"/>
    <n v="14"/>
    <s v="dw.Centralny"/>
    <x v="2"/>
  </r>
  <r>
    <n v="355"/>
    <x v="6"/>
    <s v="P"/>
    <x v="1"/>
    <x v="2"/>
    <n v="26"/>
    <x v="1"/>
    <x v="1"/>
    <s v="R"/>
    <s v="H"/>
    <s v="T"/>
    <s v="13.09.17"/>
    <n v="21"/>
    <s v="dw.Centralny"/>
    <x v="2"/>
  </r>
  <r>
    <n v="356"/>
    <x v="6"/>
    <s v="P"/>
    <x v="1"/>
    <x v="1"/>
    <n v="21"/>
    <x v="3"/>
    <x v="2"/>
    <s v="R"/>
    <s v="H"/>
    <s v="H"/>
    <s v="13.09.17"/>
    <n v="21"/>
    <s v="dw.Centralny"/>
    <x v="2"/>
  </r>
  <r>
    <n v="357"/>
    <x v="2"/>
    <s v="L"/>
    <x v="2"/>
    <x v="2"/>
    <n v="48"/>
    <x v="1"/>
    <x v="1"/>
    <s v="R"/>
    <s v="T"/>
    <s v="B"/>
    <s v="12.10.17"/>
    <n v="14"/>
    <s v="m.Centrum"/>
    <x v="2"/>
  </r>
  <r>
    <n v="358"/>
    <x v="2"/>
    <s v="P"/>
    <x v="1"/>
    <x v="1"/>
    <n v="68"/>
    <x v="5"/>
    <x v="1"/>
    <s v="H1"/>
    <s v="T"/>
    <s v="T"/>
    <s v="12.10.17"/>
    <n v="14"/>
    <s v="m.Centrum"/>
    <x v="2"/>
  </r>
  <r>
    <n v="359"/>
    <x v="5"/>
    <s v="L"/>
    <x v="1"/>
    <x v="2"/>
    <n v="68"/>
    <x v="1"/>
    <x v="1"/>
    <s v="R"/>
    <s v="H"/>
    <s v="T"/>
    <s v="12.10.17"/>
    <n v="14"/>
    <s v="m.Centrum"/>
    <x v="2"/>
  </r>
  <r>
    <n v="360"/>
    <x v="5"/>
    <s v="P"/>
    <x v="2"/>
    <x v="1"/>
    <n v="24"/>
    <x v="1"/>
    <x v="2"/>
    <s v="H5"/>
    <s v="T"/>
    <s v="H"/>
    <s v="12.10.17"/>
    <n v="14"/>
    <s v="m.Centrum"/>
    <x v="2"/>
  </r>
  <r>
    <n v="361"/>
    <x v="1"/>
    <s v="L"/>
    <x v="2"/>
    <x v="2"/>
    <n v="35"/>
    <x v="1"/>
    <x v="1"/>
    <s v="R"/>
    <s v="T"/>
    <s v="H"/>
    <s v="12.10.17"/>
    <n v="14"/>
    <s v="m.Centrum"/>
    <x v="2"/>
  </r>
  <r>
    <n v="362"/>
    <x v="1"/>
    <s v="P"/>
    <x v="1"/>
    <x v="2"/>
    <n v="18"/>
    <x v="1"/>
    <x v="1"/>
    <s v="R"/>
    <s v="T"/>
    <s v="B"/>
    <s v="12.10.17"/>
    <n v="14"/>
    <s v="m.Centrum"/>
    <x v="2"/>
  </r>
  <r>
    <n v="363"/>
    <x v="1"/>
    <s v="P"/>
    <x v="1"/>
    <x v="2"/>
    <n v="19"/>
    <x v="1"/>
    <x v="1"/>
    <s v="R"/>
    <s v="H"/>
    <s v="T"/>
    <s v="12.10.17"/>
    <n v="14"/>
    <s v="m.Centrum"/>
    <x v="2"/>
  </r>
  <r>
    <n v="364"/>
    <x v="3"/>
    <s v="L"/>
    <x v="1"/>
    <x v="1"/>
    <n v="20"/>
    <x v="1"/>
    <x v="1"/>
    <s v="R"/>
    <s v="T"/>
    <s v="T"/>
    <s v="12.10.17"/>
    <n v="14"/>
    <s v="m.Centrum"/>
    <x v="2"/>
  </r>
  <r>
    <n v="365"/>
    <x v="3"/>
    <s v="P"/>
    <x v="2"/>
    <x v="1"/>
    <n v="20"/>
    <x v="1"/>
    <x v="1"/>
    <s v="R"/>
    <s v="H"/>
    <s v="T"/>
    <s v="12.10.17"/>
    <n v="14"/>
    <s v="m.Centrum"/>
    <x v="2"/>
  </r>
  <r>
    <n v="366"/>
    <x v="6"/>
    <s v="L"/>
    <x v="1"/>
    <x v="2"/>
    <n v="34"/>
    <x v="3"/>
    <x v="1"/>
    <s v="M5"/>
    <s v="T"/>
    <s v="B"/>
    <s v="12.10.17"/>
    <n v="14"/>
    <s v="m.Centrum"/>
    <x v="2"/>
  </r>
  <r>
    <n v="367"/>
    <x v="1"/>
    <s v="L"/>
    <x v="2"/>
    <x v="2"/>
    <n v="32"/>
    <x v="1"/>
    <x v="1"/>
    <s v="R"/>
    <s v="T"/>
    <s v="B"/>
    <s v="12.10.17"/>
    <n v="21"/>
    <s v="m.Centrum"/>
    <x v="2"/>
  </r>
  <r>
    <n v="368"/>
    <x v="1"/>
    <s v="P"/>
    <x v="2"/>
    <x v="2"/>
    <n v="51"/>
    <x v="1"/>
    <x v="1"/>
    <s v="R"/>
    <s v="T"/>
    <s v="H"/>
    <s v="12.10.17"/>
    <n v="21"/>
    <s v="m.Centrum"/>
    <x v="2"/>
  </r>
  <r>
    <n v="369"/>
    <x v="1"/>
    <s v="P"/>
    <x v="2"/>
    <x v="1"/>
    <n v="32"/>
    <x v="1"/>
    <x v="2"/>
    <s v="L1"/>
    <s v="H"/>
    <s v="B"/>
    <s v="12.10.17"/>
    <n v="21"/>
    <s v="m.Centrum"/>
    <x v="2"/>
  </r>
  <r>
    <n v="370"/>
    <x v="1"/>
    <s v="P"/>
    <x v="1"/>
    <x v="2"/>
    <n v="21"/>
    <x v="1"/>
    <x v="1"/>
    <s v="R"/>
    <s v="H"/>
    <s v="T"/>
    <s v="12.10.17"/>
    <n v="21"/>
    <s v="m.Centrum"/>
    <x v="2"/>
  </r>
  <r>
    <n v="371"/>
    <x v="1"/>
    <s v="P"/>
    <x v="1"/>
    <x v="1"/>
    <n v="18"/>
    <x v="1"/>
    <x v="1"/>
    <s v="R"/>
    <s v="T"/>
    <s v="B"/>
    <s v="12.10.17"/>
    <n v="21"/>
    <s v="m.Centrum"/>
    <x v="2"/>
  </r>
  <r>
    <n v="372"/>
    <x v="1"/>
    <s v="L"/>
    <x v="1"/>
    <x v="2"/>
    <n v="32"/>
    <x v="7"/>
    <x v="1"/>
    <s v="L1"/>
    <s v="H"/>
    <s v="H"/>
    <s v="12.10.17"/>
    <n v="21"/>
    <s v="m.Centrum"/>
    <x v="2"/>
  </r>
  <r>
    <n v="373"/>
    <x v="1"/>
    <s v="L"/>
    <x v="1"/>
    <x v="1"/>
    <n v="26"/>
    <x v="1"/>
    <x v="1"/>
    <s v="R"/>
    <s v="T"/>
    <s v="B"/>
    <s v="12.10.17"/>
    <n v="21"/>
    <s v="m.Centrum"/>
    <x v="2"/>
  </r>
  <r>
    <n v="374"/>
    <x v="3"/>
    <s v="P"/>
    <x v="2"/>
    <x v="2"/>
    <n v="62"/>
    <x v="6"/>
    <x v="1"/>
    <s v="L5"/>
    <s v="H"/>
    <s v="H"/>
    <s v="12.10.17"/>
    <n v="21"/>
    <s v="m.Centrum"/>
    <x v="2"/>
  </r>
  <r>
    <n v="375"/>
    <x v="4"/>
    <s v="L"/>
    <x v="2"/>
    <x v="2"/>
    <n v="22"/>
    <x v="4"/>
    <x v="1"/>
    <s v="M1"/>
    <s v="T"/>
    <s v="H"/>
    <s v="12.10.17"/>
    <n v="21"/>
    <s v="m.Centrum"/>
    <x v="2"/>
  </r>
  <r>
    <n v="376"/>
    <x v="4"/>
    <s v="P"/>
    <x v="1"/>
    <x v="1"/>
    <n v="26"/>
    <x v="4"/>
    <x v="1"/>
    <s v="M1"/>
    <s v="H"/>
    <s v="H"/>
    <s v="12.10.17"/>
    <n v="21"/>
    <s v="m.Centrum"/>
    <x v="2"/>
  </r>
  <r>
    <n v="377"/>
    <x v="6"/>
    <s v="P"/>
    <x v="2"/>
    <x v="2"/>
    <n v="37"/>
    <x v="3"/>
    <x v="1"/>
    <s v="M5"/>
    <s v="H"/>
    <s v="T"/>
    <s v="12.10.17"/>
    <n v="21"/>
    <s v="m.Centrum"/>
    <x v="2"/>
  </r>
  <r>
    <n v="378"/>
    <x v="2"/>
    <s v="L"/>
    <x v="2"/>
    <x v="1"/>
    <n v="37"/>
    <x v="1"/>
    <x v="1"/>
    <s v="R"/>
    <s v="T"/>
    <s v="H"/>
    <s v="12.10.17"/>
    <n v="21"/>
    <s v="m.Centrum"/>
    <x v="2"/>
  </r>
  <r>
    <n v="379"/>
    <x v="1"/>
    <s v="P"/>
    <x v="2"/>
    <x v="1"/>
    <n v="23"/>
    <x v="1"/>
    <x v="2"/>
    <s v="L1"/>
    <s v="H"/>
    <s v="B"/>
    <s v="12.10.17"/>
    <n v="14"/>
    <s v="ZloteTarasy"/>
    <x v="2"/>
  </r>
  <r>
    <n v="380"/>
    <x v="1"/>
    <s v="P"/>
    <x v="2"/>
    <x v="1"/>
    <n v="23"/>
    <x v="1"/>
    <x v="2"/>
    <s v="L1"/>
    <s v="T"/>
    <s v="B"/>
    <s v="12.10.17"/>
    <n v="14"/>
    <s v="ZloteTarasy"/>
    <x v="2"/>
  </r>
  <r>
    <n v="381"/>
    <x v="1"/>
    <s v="P"/>
    <x v="1"/>
    <x v="2"/>
    <n v="26"/>
    <x v="1"/>
    <x v="1"/>
    <s v="R"/>
    <s v="T"/>
    <s v="B"/>
    <s v="12.10.17"/>
    <n v="14"/>
    <s v="ZloteTarasy"/>
    <x v="2"/>
  </r>
  <r>
    <n v="382"/>
    <x v="3"/>
    <s v="L"/>
    <x v="2"/>
    <x v="1"/>
    <n v="44"/>
    <x v="1"/>
    <x v="1"/>
    <s v="R"/>
    <s v="H"/>
    <s v="B"/>
    <s v="12.10.17"/>
    <n v="14"/>
    <s v="ZloteTarasy"/>
    <x v="2"/>
  </r>
  <r>
    <n v="383"/>
    <x v="3"/>
    <s v="L"/>
    <x v="2"/>
    <x v="1"/>
    <n v="23"/>
    <x v="1"/>
    <x v="1"/>
    <s v="R"/>
    <s v="T"/>
    <s v="B"/>
    <s v="12.10.17"/>
    <n v="14"/>
    <s v="ZloteTarasy"/>
    <x v="2"/>
  </r>
  <r>
    <n v="384"/>
    <x v="3"/>
    <s v="L"/>
    <x v="1"/>
    <x v="2"/>
    <n v="62"/>
    <x v="1"/>
    <x v="1"/>
    <s v="R"/>
    <s v="H"/>
    <s v="T"/>
    <s v="12.10.17"/>
    <n v="14"/>
    <s v="ZloteTarasy"/>
    <x v="2"/>
  </r>
  <r>
    <n v="385"/>
    <x v="3"/>
    <s v="L"/>
    <x v="1"/>
    <x v="1"/>
    <n v="64"/>
    <x v="1"/>
    <x v="1"/>
    <s v="R"/>
    <s v="T"/>
    <s v="B"/>
    <s v="12.10.17"/>
    <n v="14"/>
    <s v="ZloteTarasy"/>
    <x v="2"/>
  </r>
  <r>
    <n v="386"/>
    <x v="2"/>
    <s v="P"/>
    <x v="2"/>
    <x v="1"/>
    <n v="26"/>
    <x v="1"/>
    <x v="1"/>
    <s v="R"/>
    <s v="T"/>
    <s v="H"/>
    <s v="12.10.17"/>
    <n v="14"/>
    <s v="ZloteTarasy"/>
    <x v="2"/>
  </r>
  <r>
    <n v="387"/>
    <x v="5"/>
    <s v="P"/>
    <x v="1"/>
    <x v="1"/>
    <n v="23"/>
    <x v="1"/>
    <x v="1"/>
    <s v="R"/>
    <s v="T"/>
    <s v="B"/>
    <s v="12.10.17"/>
    <n v="14"/>
    <s v="ZloteTarasy"/>
    <x v="2"/>
  </r>
  <r>
    <n v="388"/>
    <x v="4"/>
    <s v="L"/>
    <x v="1"/>
    <x v="2"/>
    <n v="26"/>
    <x v="1"/>
    <x v="2"/>
    <s v="M1"/>
    <s v="T"/>
    <s v="B"/>
    <s v="12.10.17"/>
    <n v="14"/>
    <s v="ZloteTarasy"/>
    <x v="2"/>
  </r>
  <r>
    <n v="389"/>
    <x v="4"/>
    <s v="P"/>
    <x v="2"/>
    <x v="2"/>
    <n v="37"/>
    <x v="1"/>
    <x v="1"/>
    <s v="R"/>
    <s v="H"/>
    <s v="B"/>
    <s v="12.10.17"/>
    <n v="14"/>
    <s v="ZloteTarasy"/>
    <x v="2"/>
  </r>
  <r>
    <n v="390"/>
    <x v="6"/>
    <s v="L"/>
    <x v="2"/>
    <x v="2"/>
    <n v="25"/>
    <x v="1"/>
    <x v="1"/>
    <s v="R"/>
    <s v="H"/>
    <s v="T"/>
    <s v="12.10.17"/>
    <n v="14"/>
    <s v="ZloteTarasy"/>
    <x v="2"/>
  </r>
  <r>
    <n v="391"/>
    <x v="6"/>
    <s v="L"/>
    <x v="2"/>
    <x v="2"/>
    <n v="24"/>
    <x v="1"/>
    <x v="1"/>
    <s v="R"/>
    <s v="T"/>
    <s v="B"/>
    <s v="12.10.17"/>
    <n v="14"/>
    <s v="ZloteTarasy"/>
    <x v="2"/>
  </r>
  <r>
    <n v="392"/>
    <x v="6"/>
    <s v="P"/>
    <x v="1"/>
    <x v="1"/>
    <n v="19"/>
    <x v="1"/>
    <x v="1"/>
    <s v="R"/>
    <s v="T"/>
    <s v="B"/>
    <s v="12.10.17"/>
    <n v="14"/>
    <s v="ZloteTarasy"/>
    <x v="2"/>
  </r>
  <r>
    <n v="393"/>
    <x v="1"/>
    <s v="P"/>
    <x v="2"/>
    <x v="2"/>
    <n v="47"/>
    <x v="1"/>
    <x v="1"/>
    <s v="R"/>
    <s v="T"/>
    <s v="H"/>
    <s v="12.10.17"/>
    <n v="21"/>
    <s v="ZloteTarasy"/>
    <x v="2"/>
  </r>
  <r>
    <n v="394"/>
    <x v="1"/>
    <s v="P"/>
    <x v="1"/>
    <x v="1"/>
    <n v="36"/>
    <x v="1"/>
    <x v="1"/>
    <s v="R"/>
    <s v="T"/>
    <s v="B"/>
    <s v="12.10.17"/>
    <n v="21"/>
    <s v="ZloteTarasy"/>
    <x v="2"/>
  </r>
  <r>
    <n v="395"/>
    <x v="3"/>
    <s v="L"/>
    <x v="2"/>
    <x v="1"/>
    <n v="21"/>
    <x v="1"/>
    <x v="1"/>
    <s v="R"/>
    <s v="T"/>
    <s v="B"/>
    <s v="12.10.17"/>
    <n v="21"/>
    <s v="ZloteTarasy"/>
    <x v="2"/>
  </r>
  <r>
    <n v="396"/>
    <x v="3"/>
    <s v="L"/>
    <x v="1"/>
    <x v="1"/>
    <n v="22"/>
    <x v="1"/>
    <x v="2"/>
    <s v="L5"/>
    <s v="T"/>
    <s v="B"/>
    <s v="12.10.17"/>
    <n v="21"/>
    <s v="ZloteTarasy"/>
    <x v="2"/>
  </r>
  <r>
    <n v="397"/>
    <x v="3"/>
    <s v="L"/>
    <x v="1"/>
    <x v="2"/>
    <n v="38"/>
    <x v="1"/>
    <x v="1"/>
    <s v="R"/>
    <s v="H"/>
    <s v="T"/>
    <s v="12.10.17"/>
    <n v="21"/>
    <s v="ZloteTarasy"/>
    <x v="2"/>
  </r>
  <r>
    <n v="398"/>
    <x v="2"/>
    <s v="L"/>
    <x v="1"/>
    <x v="2"/>
    <n v="70"/>
    <x v="5"/>
    <x v="1"/>
    <s v="H1"/>
    <s v="T"/>
    <s v="B"/>
    <s v="12.10.17"/>
    <n v="21"/>
    <s v="ZloteTarasy"/>
    <x v="2"/>
  </r>
  <r>
    <n v="399"/>
    <x v="2"/>
    <s v="P"/>
    <x v="1"/>
    <x v="1"/>
    <n v="18"/>
    <x v="5"/>
    <x v="1"/>
    <s v="H1"/>
    <s v="T"/>
    <s v="T"/>
    <s v="12.10.17"/>
    <n v="21"/>
    <s v="ZloteTarasy"/>
    <x v="2"/>
  </r>
  <r>
    <n v="400"/>
    <x v="4"/>
    <s v="L"/>
    <x v="2"/>
    <x v="1"/>
    <n v="23"/>
    <x v="1"/>
    <x v="1"/>
    <s v="R"/>
    <s v="T"/>
    <s v="B"/>
    <s v="12.10.17"/>
    <n v="21"/>
    <s v="ZloteTarasy"/>
    <x v="2"/>
  </r>
  <r>
    <n v="401"/>
    <x v="6"/>
    <s v="P"/>
    <x v="1"/>
    <x v="2"/>
    <n v="18"/>
    <x v="3"/>
    <x v="1"/>
    <s v="M5"/>
    <s v="T"/>
    <s v="B"/>
    <s v="12.10.17"/>
    <n v="21"/>
    <s v="ZloteTarasy"/>
    <x v="2"/>
  </r>
  <r>
    <n v="402"/>
    <x v="1"/>
    <s v="P"/>
    <x v="1"/>
    <x v="1"/>
    <n v="20"/>
    <x v="1"/>
    <x v="1"/>
    <s v="R"/>
    <s v="H"/>
    <s v="B"/>
    <s v="12.10.17"/>
    <n v="14"/>
    <s v="dw.Centralny"/>
    <x v="2"/>
  </r>
  <r>
    <n v="403"/>
    <x v="1"/>
    <s v="P"/>
    <x v="1"/>
    <x v="1"/>
    <n v="20"/>
    <x v="1"/>
    <x v="1"/>
    <s v="R"/>
    <s v="H"/>
    <s v="B"/>
    <s v="12.10.17"/>
    <n v="14"/>
    <s v="dw.Centralny"/>
    <x v="2"/>
  </r>
  <r>
    <n v="404"/>
    <x v="1"/>
    <s v="P"/>
    <x v="2"/>
    <x v="1"/>
    <n v="23"/>
    <x v="1"/>
    <x v="2"/>
    <s v="L1"/>
    <s v="T"/>
    <s v="B"/>
    <s v="12.10.17"/>
    <n v="14"/>
    <s v="dw.Centralny"/>
    <x v="2"/>
  </r>
  <r>
    <n v="405"/>
    <x v="3"/>
    <s v="L"/>
    <x v="2"/>
    <x v="1"/>
    <n v="32"/>
    <x v="6"/>
    <x v="2"/>
    <s v="R"/>
    <s v="H"/>
    <s v="T"/>
    <s v="12.10.17"/>
    <n v="14"/>
    <s v="dw.Centralny"/>
    <x v="2"/>
  </r>
  <r>
    <n v="406"/>
    <x v="3"/>
    <s v="P"/>
    <x v="2"/>
    <x v="1"/>
    <n v="37"/>
    <x v="6"/>
    <x v="1"/>
    <s v="L5"/>
    <s v="H"/>
    <s v="T"/>
    <s v="12.10.17"/>
    <n v="14"/>
    <s v="dw.Centralny"/>
    <x v="2"/>
  </r>
  <r>
    <n v="407"/>
    <x v="3"/>
    <s v="P"/>
    <x v="2"/>
    <x v="2"/>
    <n v="21"/>
    <x v="1"/>
    <x v="1"/>
    <s v="R"/>
    <s v="T"/>
    <s v="B"/>
    <s v="12.10.17"/>
    <n v="14"/>
    <s v="dw.Centralny"/>
    <x v="2"/>
  </r>
  <r>
    <n v="408"/>
    <x v="3"/>
    <s v="P"/>
    <x v="1"/>
    <x v="2"/>
    <n v="23"/>
    <x v="1"/>
    <x v="1"/>
    <s v="R"/>
    <s v="T"/>
    <s v="H"/>
    <s v="12.10.17"/>
    <n v="14"/>
    <s v="dw.Centralny"/>
    <x v="2"/>
  </r>
  <r>
    <n v="409"/>
    <x v="3"/>
    <s v="P"/>
    <x v="1"/>
    <x v="1"/>
    <n v="68"/>
    <x v="6"/>
    <x v="1"/>
    <s v="L5"/>
    <s v="H"/>
    <s v="T"/>
    <s v="12.10.17"/>
    <n v="14"/>
    <s v="dw.Centralny"/>
    <x v="2"/>
  </r>
  <r>
    <n v="410"/>
    <x v="3"/>
    <s v="P"/>
    <x v="1"/>
    <x v="2"/>
    <n v="22"/>
    <x v="1"/>
    <x v="1"/>
    <s v="R"/>
    <s v="H"/>
    <s v="B"/>
    <s v="12.10.17"/>
    <n v="14"/>
    <s v="dw.Centralny"/>
    <x v="2"/>
  </r>
  <r>
    <n v="411"/>
    <x v="2"/>
    <s v="L"/>
    <x v="1"/>
    <x v="1"/>
    <n v="20"/>
    <x v="1"/>
    <x v="2"/>
    <s v="H1"/>
    <s v="H"/>
    <s v="B"/>
    <s v="12.10.17"/>
    <n v="14"/>
    <s v="dw.Centralny"/>
    <x v="2"/>
  </r>
  <r>
    <n v="412"/>
    <x v="2"/>
    <s v="L"/>
    <x v="1"/>
    <x v="1"/>
    <n v="42"/>
    <x v="1"/>
    <x v="1"/>
    <s v="R"/>
    <s v="T"/>
    <s v="H"/>
    <s v="12.10.17"/>
    <n v="14"/>
    <s v="dw.Centralny"/>
    <x v="2"/>
  </r>
  <r>
    <n v="413"/>
    <x v="2"/>
    <s v="P"/>
    <x v="1"/>
    <x v="1"/>
    <n v="31"/>
    <x v="1"/>
    <x v="1"/>
    <s v="R"/>
    <s v="H"/>
    <s v="B"/>
    <s v="12.10.17"/>
    <n v="14"/>
    <s v="dw.Centralny"/>
    <x v="2"/>
  </r>
  <r>
    <n v="414"/>
    <x v="2"/>
    <s v="P"/>
    <x v="2"/>
    <x v="2"/>
    <n v="24"/>
    <x v="1"/>
    <x v="2"/>
    <s v="H1"/>
    <s v="H"/>
    <s v="B"/>
    <s v="12.10.17"/>
    <n v="14"/>
    <s v="dw.Centralny"/>
    <x v="2"/>
  </r>
  <r>
    <n v="415"/>
    <x v="2"/>
    <s v="L"/>
    <x v="2"/>
    <x v="2"/>
    <n v="18"/>
    <x v="1"/>
    <x v="1"/>
    <s v="R"/>
    <s v="H"/>
    <s v="T"/>
    <s v="12.10.17"/>
    <n v="14"/>
    <s v="dw.Centralny"/>
    <x v="2"/>
  </r>
  <r>
    <n v="416"/>
    <x v="5"/>
    <s v="L"/>
    <x v="2"/>
    <x v="2"/>
    <n v="22"/>
    <x v="1"/>
    <x v="1"/>
    <s v="R"/>
    <s v="T"/>
    <s v="B"/>
    <s v="12.10.17"/>
    <n v="14"/>
    <s v="dw.Centralny"/>
    <x v="2"/>
  </r>
  <r>
    <n v="417"/>
    <x v="5"/>
    <s v="L"/>
    <x v="2"/>
    <x v="1"/>
    <n v="20"/>
    <x v="1"/>
    <x v="1"/>
    <s v="R"/>
    <s v="T"/>
    <s v="B"/>
    <s v="12.10.17"/>
    <n v="14"/>
    <s v="dw.Centralny"/>
    <x v="2"/>
  </r>
  <r>
    <n v="418"/>
    <x v="5"/>
    <s v="P"/>
    <x v="2"/>
    <x v="2"/>
    <n v="19"/>
    <x v="1"/>
    <x v="1"/>
    <s v="R"/>
    <s v="H"/>
    <s v="T"/>
    <s v="12.10.17"/>
    <n v="14"/>
    <s v="dw.Centralny"/>
    <x v="2"/>
  </r>
  <r>
    <n v="419"/>
    <x v="5"/>
    <s v="P"/>
    <x v="2"/>
    <x v="1"/>
    <n v="35"/>
    <x v="1"/>
    <x v="1"/>
    <s v="R"/>
    <s v="H"/>
    <s v="B"/>
    <s v="12.10.17"/>
    <n v="14"/>
    <s v="dw.Centralny"/>
    <x v="2"/>
  </r>
  <r>
    <n v="420"/>
    <x v="5"/>
    <s v="P"/>
    <x v="2"/>
    <x v="1"/>
    <n v="36"/>
    <x v="2"/>
    <x v="1"/>
    <s v="H5"/>
    <s v="T"/>
    <s v="H"/>
    <s v="12.10.17"/>
    <n v="14"/>
    <s v="dw.Centralny"/>
    <x v="2"/>
  </r>
  <r>
    <n v="421"/>
    <x v="5"/>
    <s v="L"/>
    <x v="1"/>
    <x v="1"/>
    <n v="21"/>
    <x v="1"/>
    <x v="1"/>
    <s v="R"/>
    <s v="T"/>
    <s v="B"/>
    <s v="12.10.17"/>
    <n v="14"/>
    <s v="dw.Centralny"/>
    <x v="2"/>
  </r>
  <r>
    <n v="422"/>
    <x v="5"/>
    <s v="P"/>
    <x v="1"/>
    <x v="1"/>
    <n v="18"/>
    <x v="1"/>
    <x v="2"/>
    <s v="H5"/>
    <s v="H"/>
    <s v="B"/>
    <s v="12.10.17"/>
    <n v="14"/>
    <s v="dw.Centralny"/>
    <x v="2"/>
  </r>
  <r>
    <n v="423"/>
    <x v="5"/>
    <s v="P"/>
    <x v="1"/>
    <x v="2"/>
    <n v="68"/>
    <x v="1"/>
    <x v="1"/>
    <s v="R"/>
    <s v="H"/>
    <s v="T"/>
    <s v="12.10.17"/>
    <n v="14"/>
    <s v="dw.Centralny"/>
    <x v="2"/>
  </r>
  <r>
    <n v="424"/>
    <x v="5"/>
    <s v="P"/>
    <x v="1"/>
    <x v="1"/>
    <n v="21"/>
    <x v="1"/>
    <x v="1"/>
    <s v="R"/>
    <s v="T"/>
    <s v="B"/>
    <s v="12.10.17"/>
    <n v="14"/>
    <s v="dw.Centralny"/>
    <x v="2"/>
  </r>
  <r>
    <n v="425"/>
    <x v="4"/>
    <s v="L"/>
    <x v="1"/>
    <x v="2"/>
    <n v="37"/>
    <x v="4"/>
    <x v="1"/>
    <s v="M1"/>
    <s v="H"/>
    <s v="H"/>
    <s v="16.10.17"/>
    <n v="14"/>
    <s v="dw.Centralny"/>
    <x v="2"/>
  </r>
  <r>
    <n v="426"/>
    <x v="4"/>
    <s v="L"/>
    <x v="1"/>
    <x v="2"/>
    <n v="39"/>
    <x v="1"/>
    <x v="1"/>
    <s v="R"/>
    <s v="T"/>
    <s v="H"/>
    <s v="16.10.17"/>
    <n v="14"/>
    <s v="dw.Centralny"/>
    <x v="2"/>
  </r>
  <r>
    <n v="427"/>
    <x v="4"/>
    <s v="P"/>
    <x v="1"/>
    <x v="1"/>
    <n v="34"/>
    <x v="1"/>
    <x v="1"/>
    <s v="R"/>
    <s v="T"/>
    <s v="H"/>
    <s v="16.10.17"/>
    <n v="14"/>
    <s v="dw.Centralny"/>
    <x v="2"/>
  </r>
  <r>
    <n v="428"/>
    <x v="4"/>
    <s v="P"/>
    <x v="1"/>
    <x v="2"/>
    <n v="40"/>
    <x v="4"/>
    <x v="1"/>
    <s v="M1"/>
    <s v="H"/>
    <s v="B"/>
    <s v="16.10.17"/>
    <n v="14"/>
    <s v="dw.Centralny"/>
    <x v="2"/>
  </r>
  <r>
    <n v="429"/>
    <x v="4"/>
    <s v="L"/>
    <x v="2"/>
    <x v="2"/>
    <n v="65"/>
    <x v="4"/>
    <x v="2"/>
    <s v="R"/>
    <s v="H"/>
    <s v="T"/>
    <s v="16.10.17"/>
    <n v="14"/>
    <s v="dw.Centralny"/>
    <x v="2"/>
  </r>
  <r>
    <n v="430"/>
    <x v="4"/>
    <s v="L"/>
    <x v="2"/>
    <x v="1"/>
    <n v="22"/>
    <x v="4"/>
    <x v="1"/>
    <s v="M1"/>
    <s v="T"/>
    <s v="B"/>
    <s v="16.10.17"/>
    <n v="14"/>
    <s v="dw.Centralny"/>
    <x v="2"/>
  </r>
  <r>
    <n v="431"/>
    <x v="4"/>
    <s v="L"/>
    <x v="2"/>
    <x v="2"/>
    <n v="32"/>
    <x v="4"/>
    <x v="1"/>
    <s v="M1"/>
    <s v="T"/>
    <s v="B"/>
    <s v="16.10.17"/>
    <n v="14"/>
    <s v="dw.Centralny"/>
    <x v="2"/>
  </r>
  <r>
    <n v="432"/>
    <x v="4"/>
    <s v="P"/>
    <x v="2"/>
    <x v="1"/>
    <n v="62"/>
    <x v="1"/>
    <x v="1"/>
    <s v="R"/>
    <s v="T"/>
    <s v="B"/>
    <s v="16.10.17"/>
    <n v="14"/>
    <s v="dw.Centralny"/>
    <x v="2"/>
  </r>
  <r>
    <n v="433"/>
    <x v="6"/>
    <s v="L"/>
    <x v="2"/>
    <x v="1"/>
    <n v="63"/>
    <x v="1"/>
    <x v="1"/>
    <s v="R"/>
    <s v="T"/>
    <s v="T"/>
    <s v="16.10.17"/>
    <n v="14"/>
    <s v="dw.Centralny"/>
    <x v="2"/>
  </r>
  <r>
    <n v="434"/>
    <x v="6"/>
    <s v="P"/>
    <x v="2"/>
    <x v="1"/>
    <n v="31"/>
    <x v="3"/>
    <x v="1"/>
    <s v="M5"/>
    <s v="H"/>
    <s v="T"/>
    <s v="16.10.17"/>
    <n v="14"/>
    <s v="dw.Centralny"/>
    <x v="2"/>
  </r>
  <r>
    <n v="435"/>
    <x v="6"/>
    <s v="P"/>
    <x v="2"/>
    <x v="1"/>
    <n v="37"/>
    <x v="1"/>
    <x v="1"/>
    <s v="R"/>
    <s v="T"/>
    <s v="H"/>
    <s v="16.10.17"/>
    <n v="14"/>
    <s v="dw.Centralny"/>
    <x v="2"/>
  </r>
  <r>
    <n v="436"/>
    <x v="6"/>
    <s v="L"/>
    <x v="1"/>
    <x v="2"/>
    <n v="24"/>
    <x v="1"/>
    <x v="1"/>
    <s v="R"/>
    <s v="T"/>
    <s v="H"/>
    <s v="16.10.17"/>
    <n v="14"/>
    <s v="dw.Centralny"/>
    <x v="2"/>
  </r>
  <r>
    <n v="437"/>
    <x v="1"/>
    <s v="P"/>
    <x v="2"/>
    <x v="1"/>
    <n v="25"/>
    <x v="1"/>
    <x v="2"/>
    <s v="L1"/>
    <s v="H"/>
    <s v="B"/>
    <s v="10.10.17"/>
    <n v="21"/>
    <s v="dw.Centralny"/>
    <x v="2"/>
  </r>
  <r>
    <n v="438"/>
    <x v="1"/>
    <s v="P"/>
    <x v="1"/>
    <x v="1"/>
    <n v="40"/>
    <x v="1"/>
    <x v="1"/>
    <s v="R"/>
    <s v="H"/>
    <s v="T"/>
    <s v="10.10.17"/>
    <n v="21"/>
    <s v="dw.Centralny"/>
    <x v="2"/>
  </r>
  <r>
    <n v="439"/>
    <x v="3"/>
    <s v="P"/>
    <x v="1"/>
    <x v="2"/>
    <n v="29"/>
    <x v="1"/>
    <x v="1"/>
    <s v="R"/>
    <s v="H"/>
    <s v="B"/>
    <s v="10.10.17"/>
    <n v="21"/>
    <s v="dw.Centralny"/>
    <x v="2"/>
  </r>
  <r>
    <n v="440"/>
    <x v="3"/>
    <s v="P"/>
    <x v="1"/>
    <x v="1"/>
    <n v="29"/>
    <x v="1"/>
    <x v="1"/>
    <s v="R"/>
    <s v="T"/>
    <s v="H"/>
    <s v="10.10.17"/>
    <n v="21"/>
    <s v="dw.Centralny"/>
    <x v="2"/>
  </r>
  <r>
    <n v="441"/>
    <x v="2"/>
    <s v="L"/>
    <x v="2"/>
    <x v="1"/>
    <n v="49"/>
    <x v="1"/>
    <x v="1"/>
    <s v="R"/>
    <s v="H"/>
    <s v="B"/>
    <s v="10.10.17"/>
    <n v="21"/>
    <s v="dw.Centralny"/>
    <x v="2"/>
  </r>
  <r>
    <n v="442"/>
    <x v="2"/>
    <s v="L"/>
    <x v="2"/>
    <x v="2"/>
    <n v="45"/>
    <x v="1"/>
    <x v="2"/>
    <s v="H1"/>
    <s v="H"/>
    <s v="B"/>
    <s v="10.10.17"/>
    <n v="21"/>
    <s v="dw.Centralny"/>
    <x v="2"/>
  </r>
  <r>
    <n v="443"/>
    <x v="2"/>
    <s v="L"/>
    <x v="2"/>
    <x v="2"/>
    <n v="44"/>
    <x v="1"/>
    <x v="1"/>
    <s v="R"/>
    <s v="T"/>
    <s v="B"/>
    <s v="10.10.17"/>
    <n v="21"/>
    <s v="dw.Centralny"/>
    <x v="2"/>
  </r>
  <r>
    <n v="444"/>
    <x v="2"/>
    <s v="L"/>
    <x v="1"/>
    <x v="2"/>
    <n v="20"/>
    <x v="1"/>
    <x v="1"/>
    <s v="R"/>
    <s v="T"/>
    <s v="H"/>
    <s v="10.10.17"/>
    <n v="21"/>
    <s v="dw.Centralny"/>
    <x v="2"/>
  </r>
  <r>
    <n v="445"/>
    <x v="2"/>
    <s v="L"/>
    <x v="1"/>
    <x v="2"/>
    <n v="41"/>
    <x v="1"/>
    <x v="1"/>
    <s v="R"/>
    <s v="H"/>
    <s v="B"/>
    <s v="10.10.17"/>
    <n v="21"/>
    <s v="dw.Centralny"/>
    <x v="2"/>
  </r>
  <r>
    <n v="446"/>
    <x v="2"/>
    <s v="L"/>
    <x v="1"/>
    <x v="1"/>
    <n v="18"/>
    <x v="1"/>
    <x v="1"/>
    <s v="R"/>
    <s v="H"/>
    <s v="T"/>
    <s v="10.10.17"/>
    <n v="21"/>
    <s v="dw.Centralny"/>
    <x v="2"/>
  </r>
  <r>
    <n v="447"/>
    <x v="2"/>
    <s v="P"/>
    <x v="1"/>
    <x v="1"/>
    <n v="22"/>
    <x v="5"/>
    <x v="1"/>
    <s v="H1"/>
    <s v="H"/>
    <s v="B"/>
    <s v="10.10.17"/>
    <n v="21"/>
    <s v="dw.Centralny"/>
    <x v="2"/>
  </r>
  <r>
    <n v="448"/>
    <x v="5"/>
    <s v="L"/>
    <x v="1"/>
    <x v="1"/>
    <n v="20"/>
    <x v="2"/>
    <x v="1"/>
    <s v="H5"/>
    <s v="H"/>
    <s v="T"/>
    <s v="10.10.17"/>
    <n v="21"/>
    <s v="dw.Centralny"/>
    <x v="2"/>
  </r>
  <r>
    <n v="449"/>
    <x v="5"/>
    <s v="L"/>
    <x v="1"/>
    <x v="1"/>
    <n v="24"/>
    <x v="1"/>
    <x v="2"/>
    <s v="H5"/>
    <s v="H"/>
    <n v="0"/>
    <s v="10.10.17"/>
    <n v="21"/>
    <s v="dw.Centralny"/>
    <x v="2"/>
  </r>
  <r>
    <n v="450"/>
    <x v="5"/>
    <s v="L"/>
    <x v="1"/>
    <x v="2"/>
    <n v="52"/>
    <x v="1"/>
    <x v="1"/>
    <s v="R"/>
    <s v="T"/>
    <s v="H"/>
    <s v="10.10.17"/>
    <n v="21"/>
    <s v="dw.Centralny"/>
    <x v="2"/>
  </r>
  <r>
    <n v="451"/>
    <x v="5"/>
    <s v="P"/>
    <x v="1"/>
    <x v="1"/>
    <n v="37"/>
    <x v="1"/>
    <x v="2"/>
    <s v="H5"/>
    <s v="H"/>
    <s v="B"/>
    <s v="10.10.17"/>
    <n v="21"/>
    <s v="dw.Centralny"/>
    <x v="2"/>
  </r>
  <r>
    <n v="452"/>
    <x v="5"/>
    <s v="P"/>
    <x v="1"/>
    <x v="1"/>
    <n v="44"/>
    <x v="1"/>
    <x v="1"/>
    <s v="R"/>
    <s v="T"/>
    <s v="B"/>
    <s v="10.10.17"/>
    <n v="21"/>
    <s v="dw.Centralny"/>
    <x v="2"/>
  </r>
  <r>
    <n v="453"/>
    <x v="5"/>
    <s v="P"/>
    <x v="2"/>
    <x v="2"/>
    <n v="22"/>
    <x v="2"/>
    <x v="2"/>
    <s v="R"/>
    <s v="T"/>
    <s v="B"/>
    <s v="10.10.17"/>
    <n v="21"/>
    <s v="dw.Centralny"/>
    <x v="2"/>
  </r>
  <r>
    <n v="454"/>
    <x v="5"/>
    <s v="L"/>
    <x v="2"/>
    <x v="2"/>
    <n v="62"/>
    <x v="1"/>
    <x v="1"/>
    <s v="R"/>
    <s v="T"/>
    <s v="H"/>
    <s v="10.10.17"/>
    <n v="21"/>
    <s v="dw.Centralny"/>
    <x v="2"/>
  </r>
  <r>
    <n v="455"/>
    <x v="5"/>
    <s v="L"/>
    <x v="2"/>
    <x v="2"/>
    <n v="18"/>
    <x v="1"/>
    <x v="2"/>
    <s v="H5"/>
    <s v="H"/>
    <s v="H"/>
    <s v="10.10.17"/>
    <n v="21"/>
    <s v="dw.Centralny"/>
    <x v="2"/>
  </r>
  <r>
    <n v="456"/>
    <x v="5"/>
    <s v="L"/>
    <x v="2"/>
    <x v="2"/>
    <n v="35"/>
    <x v="1"/>
    <x v="1"/>
    <s v="R"/>
    <s v="H"/>
    <s v="B"/>
    <s v="10.10.17"/>
    <n v="21"/>
    <s v="dw.Centralny"/>
    <x v="2"/>
  </r>
  <r>
    <n v="457"/>
    <x v="4"/>
    <s v="L"/>
    <x v="2"/>
    <x v="2"/>
    <n v="63"/>
    <x v="1"/>
    <x v="1"/>
    <s v="R"/>
    <s v="H"/>
    <s v="H"/>
    <s v="10.10.17"/>
    <n v="21"/>
    <s v="dw.Centralny"/>
    <x v="2"/>
  </r>
  <r>
    <n v="458"/>
    <x v="4"/>
    <s v="P"/>
    <x v="2"/>
    <x v="2"/>
    <n v="42"/>
    <x v="4"/>
    <x v="1"/>
    <s v="M1"/>
    <s v="H"/>
    <s v="B"/>
    <s v="10.10.17"/>
    <n v="21"/>
    <s v="dw.Centralny"/>
    <x v="2"/>
  </r>
  <r>
    <n v="459"/>
    <x v="4"/>
    <s v="P"/>
    <x v="2"/>
    <x v="1"/>
    <n v="43"/>
    <x v="1"/>
    <x v="1"/>
    <s v="R"/>
    <s v="T"/>
    <s v="B"/>
    <s v="10.10.17"/>
    <n v="21"/>
    <s v="dw.Centralny"/>
    <x v="2"/>
  </r>
  <r>
    <n v="460"/>
    <x v="4"/>
    <s v="L"/>
    <x v="1"/>
    <x v="2"/>
    <n v="37"/>
    <x v="4"/>
    <x v="1"/>
    <s v="M1"/>
    <s v="H"/>
    <s v="T"/>
    <s v="10.10.17"/>
    <n v="21"/>
    <s v="dw.Centralny"/>
    <x v="2"/>
  </r>
  <r>
    <n v="461"/>
    <x v="4"/>
    <s v="L"/>
    <x v="1"/>
    <x v="1"/>
    <n v="26"/>
    <x v="1"/>
    <x v="1"/>
    <s v="R"/>
    <s v="H"/>
    <s v="B"/>
    <s v="10.10.17"/>
    <n v="21"/>
    <s v="dw.Centralny"/>
    <x v="2"/>
  </r>
  <r>
    <n v="462"/>
    <x v="4"/>
    <s v="L"/>
    <x v="1"/>
    <x v="1"/>
    <n v="23"/>
    <x v="1"/>
    <x v="1"/>
    <s v="R"/>
    <s v="T"/>
    <s v="B"/>
    <s v="10.10.17"/>
    <n v="21"/>
    <s v="dw.Centralny"/>
    <x v="2"/>
  </r>
  <r>
    <n v="463"/>
    <x v="4"/>
    <s v="P"/>
    <x v="1"/>
    <x v="2"/>
    <n v="47"/>
    <x v="4"/>
    <x v="1"/>
    <s v="M1"/>
    <s v="H"/>
    <s v="H"/>
    <s v="10.10.17"/>
    <n v="21"/>
    <s v="dw.Centralny"/>
    <x v="2"/>
  </r>
  <r>
    <n v="464"/>
    <x v="6"/>
    <s v="P"/>
    <x v="1"/>
    <x v="1"/>
    <n v="52"/>
    <x v="1"/>
    <x v="1"/>
    <s v="R"/>
    <s v="H"/>
    <s v="B"/>
    <s v="10.10.17"/>
    <n v="21"/>
    <s v="dw.Centralny"/>
    <x v="2"/>
  </r>
  <r>
    <n v="465"/>
    <x v="6"/>
    <s v="L"/>
    <x v="1"/>
    <x v="1"/>
    <n v="34"/>
    <x v="3"/>
    <x v="1"/>
    <s v="M5"/>
    <s v="H"/>
    <s v="T"/>
    <s v="10.10.17"/>
    <n v="21"/>
    <s v="dw.Centralny"/>
    <x v="2"/>
  </r>
  <r>
    <n v="466"/>
    <x v="6"/>
    <s v="L"/>
    <x v="1"/>
    <x v="2"/>
    <n v="21"/>
    <x v="1"/>
    <x v="1"/>
    <s v="R"/>
    <s v="T"/>
    <s v="B"/>
    <s v="10.10.17"/>
    <n v="21"/>
    <s v="dw.Centralny"/>
    <x v="2"/>
  </r>
  <r>
    <n v="467"/>
    <x v="6"/>
    <s v="L"/>
    <x v="1"/>
    <x v="2"/>
    <n v="22"/>
    <x v="3"/>
    <x v="1"/>
    <s v="M5"/>
    <s v="T"/>
    <s v="H"/>
    <s v="10.10.17"/>
    <n v="21"/>
    <s v="dw.Centralny"/>
    <x v="2"/>
  </r>
  <r>
    <n v="468"/>
    <x v="6"/>
    <s v="L"/>
    <x v="1"/>
    <x v="1"/>
    <n v="49"/>
    <x v="3"/>
    <x v="2"/>
    <s v="R"/>
    <s v="T"/>
    <s v="B"/>
    <s v="10.10.17"/>
    <n v="21"/>
    <s v="dw.Centralny"/>
    <x v="2"/>
  </r>
  <r>
    <n v="469"/>
    <x v="6"/>
    <s v="L"/>
    <x v="2"/>
    <x v="1"/>
    <n v="30"/>
    <x v="3"/>
    <x v="1"/>
    <s v="M5"/>
    <s v="H"/>
    <s v="T"/>
    <s v="10.10.17"/>
    <n v="21"/>
    <s v="dw.Centralny"/>
    <x v="2"/>
  </r>
  <r>
    <n v="470"/>
    <x v="6"/>
    <s v="L"/>
    <x v="2"/>
    <x v="2"/>
    <n v="36"/>
    <x v="3"/>
    <x v="1"/>
    <s v="M5"/>
    <s v="T"/>
    <s v="H"/>
    <s v="10.10.17"/>
    <n v="21"/>
    <s v="dw.Centralny"/>
    <x v="2"/>
  </r>
  <r>
    <n v="471"/>
    <x v="6"/>
    <s v="P"/>
    <x v="2"/>
    <x v="1"/>
    <n v="59"/>
    <x v="3"/>
    <x v="1"/>
    <s v="M5"/>
    <s v="H"/>
    <s v="B"/>
    <s v="10.10.17"/>
    <n v="21"/>
    <s v="dw.Centralny"/>
    <x v="2"/>
  </r>
  <r>
    <n v="472"/>
    <x v="6"/>
    <s v="L"/>
    <x v="2"/>
    <x v="1"/>
    <n v="22"/>
    <x v="3"/>
    <x v="1"/>
    <s v="M5"/>
    <s v="T"/>
    <s v="H"/>
    <s v="10.10.17"/>
    <n v="21"/>
    <s v="dw.Centralny"/>
    <x v="2"/>
  </r>
  <r>
    <m/>
    <x v="7"/>
    <m/>
    <x v="3"/>
    <x v="3"/>
    <m/>
    <x v="8"/>
    <x v="3"/>
    <m/>
    <m/>
    <m/>
    <m/>
    <m/>
    <m/>
    <x v="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73">
  <r>
    <s v="id"/>
    <x v="0"/>
    <x v="0"/>
    <x v="0"/>
    <x v="0"/>
    <s v="age"/>
    <x v="0"/>
    <x v="0"/>
    <x v="0"/>
    <x v="0"/>
    <x v="0"/>
    <s v="date"/>
    <x v="0"/>
    <x v="0"/>
    <x v="0"/>
    <s v="gambling_habits"/>
    <s v="gambling_habits_code"/>
    <s v="gambling_habits_full"/>
    <x v="0"/>
    <x v="0"/>
    <s v="code1"/>
    <s v="e_more_rand"/>
    <s v="e_indiff"/>
    <s v="e_fav"/>
    <s v="e_int"/>
    <s v="e_know_same_prob"/>
    <s v="e_high_prob"/>
    <s v="e_more_spread"/>
    <s v="e_nice_sequence"/>
    <s v="explanation_full"/>
  </r>
  <r>
    <n v="1"/>
    <x v="1"/>
    <x v="1"/>
    <x v="1"/>
    <x v="1"/>
    <n v="22"/>
    <x v="1"/>
    <x v="1"/>
    <x v="1"/>
    <x v="1"/>
    <x v="1"/>
    <s v="07.08.17"/>
    <x v="1"/>
    <x v="1"/>
    <x v="1"/>
    <s v="rarely"/>
    <n v="2"/>
    <s v="rzadko"/>
    <x v="1"/>
    <x v="1"/>
    <m/>
    <n v="1"/>
    <n v="0"/>
    <n v="0"/>
    <n v="0"/>
    <n v="1"/>
    <n v="0"/>
    <n v="0"/>
    <n v="0"/>
    <s v="bo bardziej losowe, chociaż prawd. raczej to samo, ale zostanie przy R"/>
  </r>
  <r>
    <n v="2"/>
    <x v="2"/>
    <x v="1"/>
    <x v="1"/>
    <x v="2"/>
    <n v="24"/>
    <x v="1"/>
    <x v="1"/>
    <x v="1"/>
    <x v="1"/>
    <x v="1"/>
    <s v="07.08.17"/>
    <x v="1"/>
    <x v="1"/>
    <x v="1"/>
    <s v="rarely"/>
    <n v="2"/>
    <s v="rzadko"/>
    <x v="1"/>
    <x v="2"/>
    <m/>
    <n v="1"/>
    <n v="0"/>
    <n v="0"/>
    <n v="0"/>
    <n v="0"/>
    <n v="0"/>
    <n v="1"/>
    <n v="0"/>
    <s v="bo losowe a nie po kolei"/>
  </r>
  <r>
    <n v="3"/>
    <x v="3"/>
    <x v="1"/>
    <x v="1"/>
    <x v="2"/>
    <n v="21"/>
    <x v="1"/>
    <x v="1"/>
    <x v="1"/>
    <x v="1"/>
    <x v="1"/>
    <s v="07.08.17"/>
    <x v="1"/>
    <x v="1"/>
    <x v="1"/>
    <s v="regularly"/>
    <n v="4"/>
    <s v="często Lotto na chybił trafił i zdrapki "/>
    <x v="2"/>
    <x v="3"/>
    <m/>
    <n v="0"/>
    <n v="0"/>
    <n v="0"/>
    <n v="0"/>
    <n v="0"/>
    <n v="0"/>
    <n v="1"/>
    <n v="0"/>
    <s v="bo nie po kolei"/>
  </r>
  <r>
    <n v="4"/>
    <x v="4"/>
    <x v="1"/>
    <x v="1"/>
    <x v="1"/>
    <n v="23"/>
    <x v="1"/>
    <x v="1"/>
    <x v="1"/>
    <x v="1"/>
    <x v="2"/>
    <s v="07.08.17"/>
    <x v="1"/>
    <x v="1"/>
    <x v="1"/>
    <s v="occasionally"/>
    <n v="3"/>
    <s v="czasem Lotto za 3zł"/>
    <x v="1"/>
    <x v="3"/>
    <m/>
    <n v="1"/>
    <n v="0"/>
    <n v="0"/>
    <n v="0"/>
    <n v="0"/>
    <n v="0"/>
    <n v="0"/>
    <n v="0"/>
    <s v="bo bardziej losowe liczby"/>
  </r>
  <r>
    <n v="5"/>
    <x v="5"/>
    <x v="1"/>
    <x v="1"/>
    <x v="1"/>
    <n v="42"/>
    <x v="1"/>
    <x v="1"/>
    <x v="1"/>
    <x v="1"/>
    <x v="1"/>
    <s v="07.08.17"/>
    <x v="1"/>
    <x v="1"/>
    <x v="1"/>
    <s v="rarely"/>
    <n v="2"/>
    <s v="rzadko"/>
    <x v="3"/>
    <x v="3"/>
    <m/>
    <n v="0"/>
    <n v="0"/>
    <n v="0"/>
    <n v="1"/>
    <n v="0"/>
    <n v="0"/>
    <n v="0"/>
    <n v="0"/>
    <s v="jakoś tak odruchowo"/>
  </r>
  <r>
    <n v="6"/>
    <x v="6"/>
    <x v="1"/>
    <x v="1"/>
    <x v="2"/>
    <n v="28"/>
    <x v="1"/>
    <x v="1"/>
    <x v="1"/>
    <x v="1"/>
    <x v="1"/>
    <s v="07.08.17"/>
    <x v="1"/>
    <x v="2"/>
    <x v="1"/>
    <s v="rarely"/>
    <n v="2"/>
    <s v="bardzo rzadko"/>
    <x v="1"/>
    <x v="4"/>
    <m/>
    <n v="1"/>
    <n v="0"/>
    <n v="0"/>
    <n v="0"/>
    <n v="0"/>
    <n v="1"/>
    <n v="0"/>
    <n v="0"/>
    <s v="bo losowe a nie co 5 więc większa szansa że te losowe się trafią"/>
  </r>
  <r>
    <n v="7"/>
    <x v="1"/>
    <x v="2"/>
    <x v="1"/>
    <x v="2"/>
    <n v="57"/>
    <x v="1"/>
    <x v="1"/>
    <x v="1"/>
    <x v="1"/>
    <x v="3"/>
    <s v="07.08.17"/>
    <x v="1"/>
    <x v="2"/>
    <x v="1"/>
    <s v="never"/>
    <n v="1"/>
    <s v="nie"/>
    <x v="4"/>
    <x v="3"/>
    <m/>
    <n v="0"/>
    <n v="1"/>
    <n v="0"/>
    <n v="0"/>
    <n v="0"/>
    <n v="0"/>
    <n v="0"/>
    <n v="0"/>
    <s v="wybrała losowo bo jej obojętne"/>
  </r>
  <r>
    <n v="8"/>
    <x v="2"/>
    <x v="2"/>
    <x v="1"/>
    <x v="2"/>
    <n v="25"/>
    <x v="1"/>
    <x v="1"/>
    <x v="1"/>
    <x v="1"/>
    <x v="4"/>
    <s v="07.08.17"/>
    <x v="1"/>
    <x v="2"/>
    <x v="1"/>
    <s v="never"/>
    <n v="1"/>
    <s v="nie"/>
    <x v="1"/>
    <x v="3"/>
    <m/>
    <n v="1"/>
    <n v="0"/>
    <n v="0"/>
    <n v="0"/>
    <n v="0"/>
    <n v="0"/>
    <n v="0"/>
    <n v="0"/>
    <s v="bo bardziej losowe liczby ale w sumie jej bez różnicy; ale 50 gr nie warte nic"/>
  </r>
  <r>
    <n v="9"/>
    <x v="4"/>
    <x v="2"/>
    <x v="1"/>
    <x v="1"/>
    <n v="24"/>
    <x v="1"/>
    <x v="1"/>
    <x v="1"/>
    <x v="1"/>
    <x v="1"/>
    <s v="07.08.17"/>
    <x v="1"/>
    <x v="2"/>
    <x v="1"/>
    <s v="never"/>
    <n v="1"/>
    <s v="nie"/>
    <x v="3"/>
    <x v="3"/>
    <m/>
    <n v="0"/>
    <n v="0"/>
    <n v="0"/>
    <n v="1"/>
    <n v="0"/>
    <n v="0"/>
    <n v="0"/>
    <n v="0"/>
    <s v="nie wie czemu, wziął losowo; ale 50gr nie warte nic dla niego"/>
  </r>
  <r>
    <n v="10"/>
    <x v="3"/>
    <x v="2"/>
    <x v="1"/>
    <x v="1"/>
    <n v="24"/>
    <x v="1"/>
    <x v="2"/>
    <x v="2"/>
    <x v="1"/>
    <x v="1"/>
    <s v="07.08.17"/>
    <x v="1"/>
    <x v="2"/>
    <x v="1"/>
    <s v="occasionally"/>
    <n v="3"/>
    <s v="obstawia mecze 1x na kwartał"/>
    <x v="2"/>
    <x v="4"/>
    <m/>
    <n v="0"/>
    <n v="0"/>
    <n v="0"/>
    <n v="0"/>
    <n v="0"/>
    <n v="1"/>
    <n v="1"/>
    <n v="0"/>
    <s v="najpierw R bo nie patrzył nawet na liczby ale za 50gr popatrzył i w R 5 liczb było blisko siebie więc L5 wydało mu się bardziej równomiernie rozłożone (R=10, 13, 14, 15, 19, 42, 53, 70, 75, 78)"/>
  </r>
  <r>
    <n v="11"/>
    <x v="5"/>
    <x v="2"/>
    <x v="1"/>
    <x v="1"/>
    <n v="26"/>
    <x v="2"/>
    <x v="2"/>
    <x v="1"/>
    <x v="1"/>
    <x v="1"/>
    <s v="07.08.17"/>
    <x v="2"/>
    <x v="3"/>
    <x v="1"/>
    <s v="never"/>
    <n v="1"/>
    <s v="nie"/>
    <x v="2"/>
    <x v="3"/>
    <m/>
    <n v="0"/>
    <n v="0"/>
    <n v="0"/>
    <n v="0"/>
    <n v="0"/>
    <n v="0"/>
    <n v="1"/>
    <n v="0"/>
    <s v="najpierw H5 bo bardziej rozłożone niż w R (gdzie było po kolei 1,2,3,4, dalej randomowo); ale za 50gr zmienił zdanie"/>
  </r>
  <r>
    <n v="12"/>
    <x v="6"/>
    <x v="2"/>
    <x v="1"/>
    <x v="1"/>
    <n v="26"/>
    <x v="1"/>
    <x v="1"/>
    <x v="1"/>
    <x v="1"/>
    <x v="3"/>
    <s v="07.08.17"/>
    <x v="2"/>
    <x v="3"/>
    <x v="1"/>
    <s v="occasionally"/>
    <n v="3"/>
    <s v="4x w roku"/>
    <x v="1"/>
    <x v="3"/>
    <m/>
    <n v="1"/>
    <n v="0"/>
    <n v="0"/>
    <n v="0"/>
    <n v="0"/>
    <n v="0"/>
    <n v="0"/>
    <n v="0"/>
    <s v="bo co 5 nie pasowało mu"/>
  </r>
  <r>
    <n v="13"/>
    <x v="1"/>
    <x v="1"/>
    <x v="2"/>
    <x v="2"/>
    <n v="26"/>
    <x v="1"/>
    <x v="2"/>
    <x v="3"/>
    <x v="2"/>
    <x v="1"/>
    <s v="07.08.17"/>
    <x v="1"/>
    <x v="2"/>
    <x v="1"/>
    <s v="rarely"/>
    <n v="2"/>
    <s v="2x w roku"/>
    <x v="1"/>
    <x v="1"/>
    <m/>
    <n v="1"/>
    <n v="0"/>
    <n v="0"/>
    <n v="0"/>
    <n v="1"/>
    <n v="0"/>
    <n v="0"/>
    <n v="0"/>
    <s v="R bo bardziej randomowo ale zmieniła zdanie bo wie że w sumie to samo prawd. "/>
  </r>
  <r>
    <n v="14"/>
    <x v="2"/>
    <x v="1"/>
    <x v="2"/>
    <x v="1"/>
    <n v="25"/>
    <x v="1"/>
    <x v="1"/>
    <x v="1"/>
    <x v="2"/>
    <x v="1"/>
    <s v="07.08.17"/>
    <x v="1"/>
    <x v="2"/>
    <x v="1"/>
    <s v="rarely"/>
    <n v="2"/>
    <s v="1x w roku chybił-trafił"/>
    <x v="1"/>
    <x v="3"/>
    <m/>
    <n v="1"/>
    <n v="0"/>
    <n v="0"/>
    <n v="0"/>
    <n v="0"/>
    <n v="0"/>
    <n v="0"/>
    <n v="0"/>
    <s v="bo większa szansa"/>
  </r>
  <r>
    <n v="15"/>
    <x v="4"/>
    <x v="1"/>
    <x v="2"/>
    <x v="1"/>
    <n v="30"/>
    <x v="1"/>
    <x v="2"/>
    <x v="4"/>
    <x v="2"/>
    <x v="1"/>
    <s v="07.08.17"/>
    <x v="2"/>
    <x v="3"/>
    <x v="1"/>
    <s v="rarely"/>
    <n v="2"/>
    <s v="rzadko, co duża kumulacja"/>
    <x v="2"/>
    <x v="3"/>
    <m/>
    <n v="0"/>
    <n v="0"/>
    <n v="0"/>
    <n v="0"/>
    <n v="0"/>
    <n v="0"/>
    <n v="1"/>
    <n v="0"/>
    <s v="R bo bardziej rozproszone ale zmienił zdanie na M1"/>
  </r>
  <r>
    <n v="16"/>
    <x v="5"/>
    <x v="1"/>
    <x v="2"/>
    <x v="1"/>
    <n v="24"/>
    <x v="2"/>
    <x v="2"/>
    <x v="1"/>
    <x v="2"/>
    <x v="1"/>
    <s v="07.08.17"/>
    <x v="2"/>
    <x v="3"/>
    <x v="1"/>
    <s v="never"/>
    <n v="1"/>
    <s v="nie"/>
    <x v="4"/>
    <x v="3"/>
    <m/>
    <n v="0"/>
    <n v="1"/>
    <n v="0"/>
    <n v="0"/>
    <n v="0"/>
    <n v="0"/>
    <n v="0"/>
    <n v="0"/>
    <s v="H5 wybrał losowo bo to samo prawd. i za 1zł zmienił zdanie"/>
  </r>
  <r>
    <n v="17"/>
    <x v="6"/>
    <x v="1"/>
    <x v="2"/>
    <x v="1"/>
    <n v="22"/>
    <x v="3"/>
    <x v="1"/>
    <x v="5"/>
    <x v="2"/>
    <x v="1"/>
    <s v="07.08.17"/>
    <x v="2"/>
    <x v="3"/>
    <x v="1"/>
    <s v="occasionally"/>
    <n v="3"/>
    <s v="kilka x w roku"/>
    <x v="4"/>
    <x v="3"/>
    <m/>
    <n v="0"/>
    <n v="1"/>
    <n v="0"/>
    <n v="0"/>
    <n v="0"/>
    <n v="0"/>
    <n v="0"/>
    <n v="0"/>
    <s v="losowo wybrał M5 bo ta sama szansa, ale 1zł nie"/>
  </r>
  <r>
    <n v="18"/>
    <x v="2"/>
    <x v="2"/>
    <x v="2"/>
    <x v="1"/>
    <n v="21"/>
    <x v="1"/>
    <x v="2"/>
    <x v="6"/>
    <x v="2"/>
    <x v="1"/>
    <s v="07.08.17"/>
    <x v="2"/>
    <x v="3"/>
    <x v="1"/>
    <s v="occasionally"/>
    <n v="3"/>
    <s v="kilka x w roku"/>
    <x v="1"/>
    <x v="3"/>
    <m/>
    <n v="1"/>
    <n v="0"/>
    <n v="0"/>
    <n v="0"/>
    <n v="0"/>
    <n v="0"/>
    <n v="0"/>
    <n v="0"/>
    <s v="R bo bardziej losowe ale zmienił zdanie na H1"/>
  </r>
  <r>
    <n v="19"/>
    <x v="5"/>
    <x v="2"/>
    <x v="2"/>
    <x v="1"/>
    <n v="23"/>
    <x v="2"/>
    <x v="1"/>
    <x v="7"/>
    <x v="2"/>
    <x v="4"/>
    <s v="07.08.17"/>
    <x v="2"/>
    <x v="3"/>
    <x v="1"/>
    <s v="never"/>
    <n v="1"/>
    <s v="nie"/>
    <x v="5"/>
    <x v="3"/>
    <m/>
    <n v="0"/>
    <n v="0"/>
    <n v="1"/>
    <n v="0"/>
    <n v="0"/>
    <n v="0"/>
    <n v="0"/>
    <n v="0"/>
    <s v="H5 bo bardziej mu sie tu podobały liczby ale nie te obstawiane tylko jakieś inne na kuponie ale nie powiedział czemu i które"/>
  </r>
  <r>
    <n v="20"/>
    <x v="1"/>
    <x v="1"/>
    <x v="2"/>
    <x v="2"/>
    <n v="25"/>
    <x v="1"/>
    <x v="2"/>
    <x v="3"/>
    <x v="2"/>
    <x v="1"/>
    <s v="07.08.17"/>
    <x v="2"/>
    <x v="3"/>
    <x v="1"/>
    <s v="occasionally"/>
    <n v="3"/>
    <s v="kilka x w roku"/>
    <x v="1"/>
    <x v="3"/>
    <m/>
    <n v="1"/>
    <n v="0"/>
    <n v="0"/>
    <n v="0"/>
    <n v="0"/>
    <n v="0"/>
    <n v="0"/>
    <n v="0"/>
    <s v="R bo bardziej losowe ale zmieniła zdanie na L1"/>
  </r>
  <r>
    <n v="21"/>
    <x v="3"/>
    <x v="1"/>
    <x v="2"/>
    <x v="2"/>
    <n v="24"/>
    <x v="1"/>
    <x v="1"/>
    <x v="1"/>
    <x v="1"/>
    <x v="1"/>
    <s v="07.08.17"/>
    <x v="2"/>
    <x v="3"/>
    <x v="1"/>
    <s v="rarely"/>
    <n v="2"/>
    <s v="kilka x w życiu"/>
    <x v="1"/>
    <x v="3"/>
    <m/>
    <n v="1"/>
    <n v="0"/>
    <n v="0"/>
    <n v="0"/>
    <n v="0"/>
    <n v="0"/>
    <n v="0"/>
    <n v="0"/>
    <s v="bo bardziej losowe liczby"/>
  </r>
  <r>
    <n v="22"/>
    <x v="3"/>
    <x v="1"/>
    <x v="1"/>
    <x v="2"/>
    <n v="26"/>
    <x v="1"/>
    <x v="1"/>
    <x v="1"/>
    <x v="1"/>
    <x v="1"/>
    <s v="07.08.17"/>
    <x v="2"/>
    <x v="3"/>
    <x v="1"/>
    <s v="never"/>
    <n v="1"/>
    <s v="nie"/>
    <x v="1"/>
    <x v="3"/>
    <m/>
    <n v="1"/>
    <n v="0"/>
    <n v="0"/>
    <n v="0"/>
    <n v="0"/>
    <n v="0"/>
    <n v="0"/>
    <n v="0"/>
    <s v="bo bardziej losowe liczby"/>
  </r>
  <r>
    <n v="23"/>
    <x v="3"/>
    <x v="1"/>
    <x v="1"/>
    <x v="2"/>
    <n v="25"/>
    <x v="1"/>
    <x v="1"/>
    <x v="1"/>
    <x v="1"/>
    <x v="1"/>
    <s v="07.08.17"/>
    <x v="2"/>
    <x v="3"/>
    <x v="1"/>
    <s v="occasionally"/>
    <n v="3"/>
    <s v="kilka x w roku"/>
    <x v="1"/>
    <x v="3"/>
    <m/>
    <n v="1"/>
    <n v="0"/>
    <n v="0"/>
    <n v="0"/>
    <n v="0"/>
    <n v="0"/>
    <n v="0"/>
    <n v="0"/>
    <s v="bo bardziej losowe liczby"/>
  </r>
  <r>
    <n v="24"/>
    <x v="3"/>
    <x v="1"/>
    <x v="1"/>
    <x v="1"/>
    <n v="26"/>
    <x v="1"/>
    <x v="1"/>
    <x v="1"/>
    <x v="1"/>
    <x v="1"/>
    <s v="07.08.17"/>
    <x v="2"/>
    <x v="3"/>
    <x v="1"/>
    <s v="rarely"/>
    <n v="2"/>
    <s v="kilka x w życiu"/>
    <x v="1"/>
    <x v="3"/>
    <m/>
    <n v="1"/>
    <n v="0"/>
    <n v="0"/>
    <n v="0"/>
    <n v="0"/>
    <n v="0"/>
    <n v="0"/>
    <n v="0"/>
    <s v="bo bardziej losowe liczby"/>
  </r>
  <r>
    <n v="25"/>
    <x v="3"/>
    <x v="1"/>
    <x v="1"/>
    <x v="2"/>
    <n v="24"/>
    <x v="1"/>
    <x v="1"/>
    <x v="1"/>
    <x v="1"/>
    <x v="1"/>
    <s v="07.08.17"/>
    <x v="2"/>
    <x v="3"/>
    <x v="1"/>
    <s v="never"/>
    <n v="1"/>
    <s v="nie"/>
    <x v="1"/>
    <x v="3"/>
    <m/>
    <n v="1"/>
    <n v="0"/>
    <n v="0"/>
    <n v="0"/>
    <n v="0"/>
    <n v="0"/>
    <n v="0"/>
    <n v="0"/>
    <s v="bo bardziej losowe liczby"/>
  </r>
  <r>
    <n v="26"/>
    <x v="3"/>
    <x v="1"/>
    <x v="2"/>
    <x v="1"/>
    <n v="72"/>
    <x v="1"/>
    <x v="2"/>
    <x v="2"/>
    <x v="1"/>
    <x v="1"/>
    <s v="08.08.17"/>
    <x v="1"/>
    <x v="4"/>
    <x v="1"/>
    <s v="always"/>
    <n v="5"/>
    <s v="gra co losowanie"/>
    <x v="1"/>
    <x v="3"/>
    <m/>
    <n v="1"/>
    <n v="0"/>
    <n v="0"/>
    <n v="0"/>
    <n v="0"/>
    <n v="0"/>
    <n v="0"/>
    <n v="0"/>
    <s v="bo bardziej losowe liczby"/>
  </r>
  <r>
    <n v="27"/>
    <x v="1"/>
    <x v="2"/>
    <x v="2"/>
    <x v="1"/>
    <n v="86"/>
    <x v="1"/>
    <x v="2"/>
    <x v="3"/>
    <x v="1"/>
    <x v="1"/>
    <s v="08.08.17"/>
    <x v="1"/>
    <x v="4"/>
    <x v="1"/>
    <s v="always"/>
    <n v="5"/>
    <s v="regularnie od 45 lat"/>
    <x v="1"/>
    <x v="3"/>
    <m/>
    <n v="1"/>
    <n v="0"/>
    <n v="0"/>
    <n v="0"/>
    <n v="0"/>
    <n v="0"/>
    <n v="0"/>
    <n v="0"/>
    <s v="bo bardziej losowe liczby"/>
  </r>
  <r>
    <n v="28"/>
    <x v="4"/>
    <x v="2"/>
    <x v="2"/>
    <x v="2"/>
    <n v="47"/>
    <x v="4"/>
    <x v="1"/>
    <x v="4"/>
    <x v="1"/>
    <x v="3"/>
    <s v="08.08.17"/>
    <x v="1"/>
    <x v="4"/>
    <x v="1"/>
    <s v="always"/>
    <n v="5"/>
    <s v="gra co kilka dni"/>
    <x v="5"/>
    <x v="3"/>
    <s v="U2, 3, 4"/>
    <n v="0"/>
    <n v="0"/>
    <n v="1"/>
    <n v="0"/>
    <n v="0"/>
    <n v="0"/>
    <n v="0"/>
    <n v="0"/>
    <s v="M1 bo 2 i 3 i 4 to &quot;jej liczby&quot; "/>
  </r>
  <r>
    <n v="29"/>
    <x v="3"/>
    <x v="2"/>
    <x v="2"/>
    <x v="2"/>
    <n v="64"/>
    <x v="1"/>
    <x v="1"/>
    <x v="1"/>
    <x v="1"/>
    <x v="3"/>
    <s v="08.08.17"/>
    <x v="1"/>
    <x v="4"/>
    <x v="1"/>
    <s v="always"/>
    <n v="5"/>
    <s v="gra co kilka dni"/>
    <x v="1"/>
    <x v="3"/>
    <m/>
    <n v="1"/>
    <n v="0"/>
    <n v="0"/>
    <n v="0"/>
    <n v="0"/>
    <n v="0"/>
    <n v="0"/>
    <n v="0"/>
    <s v="bo bardziej losowe liczby"/>
  </r>
  <r>
    <n v="30"/>
    <x v="6"/>
    <x v="2"/>
    <x v="2"/>
    <x v="1"/>
    <n v="68"/>
    <x v="1"/>
    <x v="1"/>
    <x v="1"/>
    <x v="1"/>
    <x v="4"/>
    <s v="08.08.17"/>
    <x v="1"/>
    <x v="4"/>
    <x v="1"/>
    <s v="always"/>
    <n v="5"/>
    <s v="gra co drugi dzień"/>
    <x v="2"/>
    <x v="3"/>
    <m/>
    <n v="0"/>
    <n v="0"/>
    <n v="0"/>
    <n v="0"/>
    <n v="0"/>
    <n v="0"/>
    <n v="1"/>
    <n v="0"/>
    <s v="bo lepiej rozłożone liczby"/>
  </r>
  <r>
    <n v="31"/>
    <x v="1"/>
    <x v="1"/>
    <x v="1"/>
    <x v="1"/>
    <n v="44"/>
    <x v="1"/>
    <x v="1"/>
    <x v="1"/>
    <x v="1"/>
    <x v="2"/>
    <s v="08.08.17"/>
    <x v="1"/>
    <x v="4"/>
    <x v="1"/>
    <s v="always"/>
    <n v="5"/>
    <s v="1x w tygodniu"/>
    <x v="5"/>
    <x v="3"/>
    <s v="U17"/>
    <n v="0"/>
    <n v="0"/>
    <n v="1"/>
    <n v="0"/>
    <n v="0"/>
    <n v="0"/>
    <n v="0"/>
    <n v="0"/>
    <s v="R bo było tam 17 a to ulubiona liczba"/>
  </r>
  <r>
    <n v="32"/>
    <x v="2"/>
    <x v="1"/>
    <x v="1"/>
    <x v="1"/>
    <n v="83"/>
    <x v="1"/>
    <x v="1"/>
    <x v="1"/>
    <x v="1"/>
    <x v="1"/>
    <s v="08.08.17"/>
    <x v="1"/>
    <x v="4"/>
    <x v="1"/>
    <s v="rarely"/>
    <n v="2"/>
    <s v="rzadko"/>
    <x v="5"/>
    <x v="3"/>
    <s v="U31, 33"/>
    <n v="0"/>
    <n v="0"/>
    <n v="1"/>
    <n v="0"/>
    <n v="0"/>
    <n v="0"/>
    <n v="0"/>
    <n v="0"/>
    <s v="R bo było tam 31 i 33 a to jego ulubione liczby"/>
  </r>
  <r>
    <n v="33"/>
    <x v="4"/>
    <x v="1"/>
    <x v="1"/>
    <x v="2"/>
    <n v="61"/>
    <x v="1"/>
    <x v="1"/>
    <x v="1"/>
    <x v="1"/>
    <x v="3"/>
    <s v="08.08.17"/>
    <x v="1"/>
    <x v="4"/>
    <x v="1"/>
    <s v="rarely"/>
    <n v="2"/>
    <s v="1x w roku"/>
    <x v="2"/>
    <x v="3"/>
    <m/>
    <n v="0"/>
    <n v="0"/>
    <n v="0"/>
    <n v="0"/>
    <n v="0"/>
    <n v="0"/>
    <n v="1"/>
    <n v="0"/>
    <s v="bo większy rozrzut liczb"/>
  </r>
  <r>
    <n v="34"/>
    <x v="5"/>
    <x v="1"/>
    <x v="1"/>
    <x v="1"/>
    <n v="20"/>
    <x v="1"/>
    <x v="1"/>
    <x v="1"/>
    <x v="1"/>
    <x v="3"/>
    <s v="08.08.17"/>
    <x v="1"/>
    <x v="5"/>
    <x v="1"/>
    <s v="rarely"/>
    <n v="2"/>
    <s v="bardzo rzadko"/>
    <x v="1"/>
    <x v="3"/>
    <m/>
    <n v="1"/>
    <n v="0"/>
    <n v="0"/>
    <n v="0"/>
    <n v="0"/>
    <n v="0"/>
    <n v="0"/>
    <n v="0"/>
    <s v="bo bardziej losowe liczby"/>
  </r>
  <r>
    <n v="35"/>
    <x v="6"/>
    <x v="2"/>
    <x v="1"/>
    <x v="2"/>
    <n v="19"/>
    <x v="1"/>
    <x v="1"/>
    <x v="1"/>
    <x v="1"/>
    <x v="1"/>
    <s v="08.08.17"/>
    <x v="1"/>
    <x v="5"/>
    <x v="1"/>
    <s v="never"/>
    <n v="1"/>
    <s v="nie"/>
    <x v="1"/>
    <x v="3"/>
    <m/>
    <n v="1"/>
    <n v="0"/>
    <n v="0"/>
    <n v="0"/>
    <n v="0"/>
    <n v="0"/>
    <n v="0"/>
    <n v="0"/>
    <s v="bo bardziej losowe liczby"/>
  </r>
  <r>
    <n v="36"/>
    <x v="1"/>
    <x v="1"/>
    <x v="1"/>
    <x v="1"/>
    <n v="52"/>
    <x v="1"/>
    <x v="1"/>
    <x v="1"/>
    <x v="1"/>
    <x v="3"/>
    <s v="08.08.17"/>
    <x v="1"/>
    <x v="5"/>
    <x v="1"/>
    <s v="always"/>
    <n v="5"/>
    <s v="gra co kilka dni"/>
    <x v="5"/>
    <x v="3"/>
    <m/>
    <n v="0"/>
    <n v="0"/>
    <n v="1"/>
    <n v="0"/>
    <n v="0"/>
    <n v="0"/>
    <n v="0"/>
    <n v="0"/>
    <s v="bo były w R liczby które kiedyś grał"/>
  </r>
  <r>
    <n v="37"/>
    <x v="5"/>
    <x v="1"/>
    <x v="1"/>
    <x v="1"/>
    <n v="25"/>
    <x v="1"/>
    <x v="1"/>
    <x v="1"/>
    <x v="1"/>
    <x v="4"/>
    <s v="08.08.17"/>
    <x v="1"/>
    <x v="5"/>
    <x v="1"/>
    <s v="never"/>
    <n v="1"/>
    <s v="nie"/>
    <x v="3"/>
    <x v="3"/>
    <m/>
    <n v="0"/>
    <n v="0"/>
    <n v="0"/>
    <n v="1"/>
    <n v="0"/>
    <n v="0"/>
    <n v="0"/>
    <n v="0"/>
    <s v="R ale nie wie czemu"/>
  </r>
  <r>
    <n v="38"/>
    <x v="6"/>
    <x v="1"/>
    <x v="1"/>
    <x v="1"/>
    <n v="37"/>
    <x v="1"/>
    <x v="1"/>
    <x v="1"/>
    <x v="1"/>
    <x v="3"/>
    <s v="08.08.17"/>
    <x v="1"/>
    <x v="5"/>
    <x v="1"/>
    <s v="never"/>
    <n v="1"/>
    <s v="nie"/>
    <x v="1"/>
    <x v="3"/>
    <m/>
    <n v="1"/>
    <n v="0"/>
    <n v="0"/>
    <n v="0"/>
    <n v="0"/>
    <n v="0"/>
    <n v="0"/>
    <n v="0"/>
    <s v="bo bardziej losowe liczby"/>
  </r>
  <r>
    <n v="39"/>
    <x v="1"/>
    <x v="2"/>
    <x v="1"/>
    <x v="2"/>
    <n v="84"/>
    <x v="1"/>
    <x v="1"/>
    <x v="1"/>
    <x v="1"/>
    <x v="3"/>
    <s v="08.08.17"/>
    <x v="1"/>
    <x v="5"/>
    <x v="1"/>
    <s v="never"/>
    <n v="1"/>
    <s v="nie"/>
    <x v="3"/>
    <x v="3"/>
    <m/>
    <n v="0"/>
    <n v="0"/>
    <n v="0"/>
    <n v="1"/>
    <n v="0"/>
    <n v="0"/>
    <n v="0"/>
    <n v="0"/>
    <s v="R losowo wybrała ale 50 gr nie bo widocznie los tak chciał"/>
  </r>
  <r>
    <n v="40"/>
    <x v="2"/>
    <x v="2"/>
    <x v="1"/>
    <x v="2"/>
    <n v="73"/>
    <x v="1"/>
    <x v="2"/>
    <x v="6"/>
    <x v="1"/>
    <x v="3"/>
    <s v="08.08.17"/>
    <x v="1"/>
    <x v="5"/>
    <x v="1"/>
    <s v="regularly"/>
    <n v="4"/>
    <s v="2x w miesiącu"/>
    <x v="5"/>
    <x v="3"/>
    <s v="U13"/>
    <n v="0"/>
    <n v="0"/>
    <n v="1"/>
    <n v="0"/>
    <n v="0"/>
    <n v="0"/>
    <n v="0"/>
    <n v="0"/>
    <s v="R bo lubi 13 a było tam ale za 50gr zmieniła zdanie"/>
  </r>
  <r>
    <n v="41"/>
    <x v="4"/>
    <x v="2"/>
    <x v="1"/>
    <x v="1"/>
    <n v="46"/>
    <x v="4"/>
    <x v="1"/>
    <x v="4"/>
    <x v="2"/>
    <x v="1"/>
    <s v="08.08.17"/>
    <x v="1"/>
    <x v="5"/>
    <x v="1"/>
    <s v="rarely"/>
    <n v="2"/>
    <s v="rzadko"/>
    <x v="6"/>
    <x v="5"/>
    <m/>
    <n v="0"/>
    <n v="0"/>
    <n v="1"/>
    <n v="0"/>
    <n v="0"/>
    <n v="0"/>
    <n v="0"/>
    <n v="1"/>
    <s v="M1 bo liczby mniej losowe i bardziej dla niego logiczne i ważna data urodzenia była"/>
  </r>
  <r>
    <n v="42"/>
    <x v="3"/>
    <x v="2"/>
    <x v="1"/>
    <x v="1"/>
    <n v="9"/>
    <x v="1"/>
    <x v="1"/>
    <x v="1"/>
    <x v="2"/>
    <x v="2"/>
    <s v="08.08.17"/>
    <x v="1"/>
    <x v="5"/>
    <x v="1"/>
    <s v="never"/>
    <n v="1"/>
    <s v="nie"/>
    <x v="5"/>
    <x v="3"/>
    <m/>
    <n v="0"/>
    <n v="0"/>
    <n v="1"/>
    <n v="0"/>
    <n v="0"/>
    <n v="0"/>
    <n v="0"/>
    <n v="0"/>
    <s v="R bo większe liczby były a lubi duże liczby"/>
  </r>
  <r>
    <n v="43"/>
    <x v="5"/>
    <x v="2"/>
    <x v="1"/>
    <x v="1"/>
    <n v="33"/>
    <x v="1"/>
    <x v="1"/>
    <x v="1"/>
    <x v="2"/>
    <x v="1"/>
    <s v="08.08.17"/>
    <x v="1"/>
    <x v="5"/>
    <x v="1"/>
    <s v="never"/>
    <n v="1"/>
    <s v="nie"/>
    <x v="3"/>
    <x v="3"/>
    <m/>
    <n v="0"/>
    <n v="0"/>
    <n v="0"/>
    <n v="1"/>
    <n v="0"/>
    <n v="0"/>
    <n v="0"/>
    <n v="0"/>
    <s v="R bo było w prawej a prawa mu się lepiej kojarzy; 50gr nie to nic nie znaczy dla niego"/>
  </r>
  <r>
    <n v="44"/>
    <x v="6"/>
    <x v="1"/>
    <x v="2"/>
    <x v="2"/>
    <n v="25"/>
    <x v="3"/>
    <x v="1"/>
    <x v="5"/>
    <x v="1"/>
    <x v="1"/>
    <s v="08.08.17"/>
    <x v="2"/>
    <x v="5"/>
    <x v="1"/>
    <s v="rarely"/>
    <n v="2"/>
    <s v="rzadko"/>
    <x v="6"/>
    <x v="3"/>
    <m/>
    <n v="0"/>
    <n v="0"/>
    <n v="0"/>
    <n v="0"/>
    <n v="0"/>
    <n v="0"/>
    <n v="0"/>
    <n v="1"/>
    <s v="LS; 1zł nie bo jak ma wygrać z tym to 1zł nic nie zmieni"/>
  </r>
  <r>
    <n v="45"/>
    <x v="5"/>
    <x v="1"/>
    <x v="1"/>
    <x v="2"/>
    <n v="38"/>
    <x v="2"/>
    <x v="1"/>
    <x v="7"/>
    <x v="1"/>
    <x v="1"/>
    <s v="08.08.17"/>
    <x v="2"/>
    <x v="5"/>
    <x v="1"/>
    <s v="occasionally"/>
    <n v="3"/>
    <s v="czasami"/>
    <x v="6"/>
    <x v="3"/>
    <m/>
    <n v="0"/>
    <n v="0"/>
    <n v="0"/>
    <n v="0"/>
    <n v="0"/>
    <n v="0"/>
    <n v="0"/>
    <n v="1"/>
    <s v="LS"/>
  </r>
  <r>
    <n v="46"/>
    <x v="1"/>
    <x v="2"/>
    <x v="2"/>
    <x v="1"/>
    <n v="47"/>
    <x v="1"/>
    <x v="1"/>
    <x v="1"/>
    <x v="1"/>
    <x v="4"/>
    <s v="08.08.17"/>
    <x v="2"/>
    <x v="5"/>
    <x v="1"/>
    <s v="never"/>
    <n v="1"/>
    <s v="nie"/>
    <x v="1"/>
    <x v="3"/>
    <m/>
    <n v="1"/>
    <n v="0"/>
    <n v="0"/>
    <n v="0"/>
    <n v="0"/>
    <n v="0"/>
    <n v="0"/>
    <n v="0"/>
    <s v="BL"/>
  </r>
  <r>
    <n v="47"/>
    <x v="1"/>
    <x v="2"/>
    <x v="2"/>
    <x v="2"/>
    <n v="37"/>
    <x v="1"/>
    <x v="1"/>
    <x v="1"/>
    <x v="1"/>
    <x v="1"/>
    <s v="08.08.17"/>
    <x v="2"/>
    <x v="5"/>
    <x v="1"/>
    <s v="never"/>
    <n v="1"/>
    <s v="nie"/>
    <x v="5"/>
    <x v="3"/>
    <m/>
    <n v="0"/>
    <n v="0"/>
    <n v="1"/>
    <n v="0"/>
    <n v="0"/>
    <n v="0"/>
    <n v="0"/>
    <n v="0"/>
    <s v="bo była liczba z jej urodzin"/>
  </r>
  <r>
    <n v="48"/>
    <x v="1"/>
    <x v="2"/>
    <x v="2"/>
    <x v="1"/>
    <n v="25"/>
    <x v="1"/>
    <x v="2"/>
    <x v="3"/>
    <x v="1"/>
    <x v="1"/>
    <s v="08.08.17"/>
    <x v="2"/>
    <x v="5"/>
    <x v="1"/>
    <s v="never"/>
    <n v="1"/>
    <s v="nie"/>
    <x v="4"/>
    <x v="3"/>
    <m/>
    <n v="0"/>
    <n v="1"/>
    <n v="0"/>
    <n v="0"/>
    <n v="0"/>
    <n v="0"/>
    <n v="0"/>
    <n v="0"/>
    <s v="WJ i zmienił zdanie za 1zł więc L1"/>
  </r>
  <r>
    <n v="49"/>
    <x v="1"/>
    <x v="2"/>
    <x v="2"/>
    <x v="2"/>
    <n v="32"/>
    <x v="1"/>
    <x v="1"/>
    <x v="1"/>
    <x v="1"/>
    <x v="4"/>
    <s v="08.08.17"/>
    <x v="2"/>
    <x v="5"/>
    <x v="1"/>
    <s v="never"/>
    <n v="1"/>
    <s v="nie"/>
    <x v="1"/>
    <x v="3"/>
    <m/>
    <n v="1"/>
    <n v="0"/>
    <n v="0"/>
    <n v="0"/>
    <n v="0"/>
    <n v="0"/>
    <n v="0"/>
    <n v="0"/>
    <s v="BL"/>
  </r>
  <r>
    <n v="50"/>
    <x v="3"/>
    <x v="2"/>
    <x v="2"/>
    <x v="2"/>
    <n v="56"/>
    <x v="1"/>
    <x v="1"/>
    <x v="1"/>
    <x v="1"/>
    <x v="4"/>
    <s v="08.08.17"/>
    <x v="2"/>
    <x v="5"/>
    <x v="1"/>
    <s v="never"/>
    <n v="1"/>
    <s v="nie"/>
    <x v="7"/>
    <x v="3"/>
    <m/>
    <n v="0"/>
    <n v="0"/>
    <n v="0"/>
    <n v="0"/>
    <n v="0"/>
    <n v="0"/>
    <n v="0"/>
    <n v="0"/>
    <s v="bo były mocniejsze kolory kuponu (nie potwierdzam)"/>
  </r>
  <r>
    <n v="51"/>
    <x v="3"/>
    <x v="2"/>
    <x v="2"/>
    <x v="1"/>
    <n v="27"/>
    <x v="1"/>
    <x v="1"/>
    <x v="1"/>
    <x v="1"/>
    <x v="3"/>
    <s v="08.08.17"/>
    <x v="2"/>
    <x v="5"/>
    <x v="1"/>
    <s v="rarely"/>
    <n v="2"/>
    <s v="1x na 2 lata"/>
    <x v="1"/>
    <x v="4"/>
    <m/>
    <n v="1"/>
    <n v="0"/>
    <n v="0"/>
    <n v="0"/>
    <n v="0"/>
    <n v="1"/>
    <n v="0"/>
    <n v="0"/>
    <s v="BL i WP"/>
  </r>
  <r>
    <n v="52"/>
    <x v="3"/>
    <x v="2"/>
    <x v="2"/>
    <x v="1"/>
    <n v="60"/>
    <x v="1"/>
    <x v="1"/>
    <x v="1"/>
    <x v="1"/>
    <x v="1"/>
    <s v="08.08.17"/>
    <x v="2"/>
    <x v="5"/>
    <x v="1"/>
    <s v="regularly"/>
    <n v="4"/>
    <s v="często"/>
    <x v="1"/>
    <x v="3"/>
    <m/>
    <n v="1"/>
    <n v="0"/>
    <n v="0"/>
    <n v="0"/>
    <n v="0"/>
    <n v="0"/>
    <n v="0"/>
    <n v="0"/>
    <s v="bo BL a L5 zbyt regularny układ"/>
  </r>
  <r>
    <n v="53"/>
    <x v="3"/>
    <x v="2"/>
    <x v="2"/>
    <x v="1"/>
    <n v="31"/>
    <x v="1"/>
    <x v="2"/>
    <x v="2"/>
    <x v="1"/>
    <x v="1"/>
    <s v="08.08.17"/>
    <x v="2"/>
    <x v="5"/>
    <x v="1"/>
    <s v="occasionally"/>
    <n v="3"/>
    <s v="kilka x w roku"/>
    <x v="8"/>
    <x v="3"/>
    <m/>
    <n v="0"/>
    <n v="0"/>
    <n v="0"/>
    <n v="0"/>
    <n v="0"/>
    <n v="1"/>
    <n v="0"/>
    <n v="0"/>
    <s v="WP"/>
  </r>
  <r>
    <n v="54"/>
    <x v="6"/>
    <x v="2"/>
    <x v="2"/>
    <x v="1"/>
    <n v="19"/>
    <x v="1"/>
    <x v="1"/>
    <x v="1"/>
    <x v="1"/>
    <x v="4"/>
    <s v="08.08.17"/>
    <x v="2"/>
    <x v="5"/>
    <x v="1"/>
    <s v="rarely"/>
    <n v="2"/>
    <s v="rzadko, w zdrapki"/>
    <x v="1"/>
    <x v="3"/>
    <m/>
    <n v="1"/>
    <n v="0"/>
    <n v="0"/>
    <n v="0"/>
    <n v="0"/>
    <n v="0"/>
    <n v="0"/>
    <n v="0"/>
    <s v="BL"/>
  </r>
  <r>
    <n v="55"/>
    <x v="6"/>
    <x v="2"/>
    <x v="2"/>
    <x v="2"/>
    <n v="17"/>
    <x v="1"/>
    <x v="1"/>
    <x v="1"/>
    <x v="1"/>
    <x v="3"/>
    <s v="08.08.17"/>
    <x v="2"/>
    <x v="6"/>
    <x v="1"/>
    <s v="never"/>
    <n v="1"/>
    <s v="nie"/>
    <x v="3"/>
    <x v="5"/>
    <m/>
    <n v="0"/>
    <n v="0"/>
    <n v="1"/>
    <n v="1"/>
    <n v="0"/>
    <n v="0"/>
    <n v="0"/>
    <n v="0"/>
    <s v="przeczucie i daty urodzin"/>
  </r>
  <r>
    <n v="56"/>
    <x v="6"/>
    <x v="2"/>
    <x v="2"/>
    <x v="1"/>
    <n v="21"/>
    <x v="1"/>
    <x v="1"/>
    <x v="1"/>
    <x v="1"/>
    <x v="4"/>
    <s v="08.08.17"/>
    <x v="2"/>
    <x v="6"/>
    <x v="1"/>
    <s v="never"/>
    <n v="1"/>
    <s v="nie"/>
    <x v="4"/>
    <x v="3"/>
    <m/>
    <n v="0"/>
    <n v="1"/>
    <n v="0"/>
    <n v="0"/>
    <n v="0"/>
    <n v="0"/>
    <n v="0"/>
    <n v="0"/>
    <s v="WJ"/>
  </r>
  <r>
    <n v="57"/>
    <x v="6"/>
    <x v="2"/>
    <x v="2"/>
    <x v="2"/>
    <n v="20"/>
    <x v="1"/>
    <x v="1"/>
    <x v="1"/>
    <x v="1"/>
    <x v="3"/>
    <s v="08.08.17"/>
    <x v="2"/>
    <x v="6"/>
    <x v="1"/>
    <s v="never"/>
    <n v="1"/>
    <s v="nie"/>
    <x v="1"/>
    <x v="3"/>
    <m/>
    <n v="1"/>
    <n v="0"/>
    <n v="0"/>
    <n v="0"/>
    <n v="0"/>
    <n v="0"/>
    <n v="0"/>
    <n v="0"/>
    <s v="BL bo M5 podzielne przez 5 to tak nie będzie"/>
  </r>
  <r>
    <n v="58"/>
    <x v="1"/>
    <x v="2"/>
    <x v="1"/>
    <x v="1"/>
    <n v="25"/>
    <x v="1"/>
    <x v="1"/>
    <x v="1"/>
    <x v="1"/>
    <x v="1"/>
    <s v="08.08.17"/>
    <x v="2"/>
    <x v="6"/>
    <x v="1"/>
    <s v="regularly"/>
    <n v="4"/>
    <s v="mecze dość często"/>
    <x v="8"/>
    <x v="3"/>
    <m/>
    <n v="0"/>
    <n v="0"/>
    <n v="0"/>
    <n v="0"/>
    <n v="0"/>
    <n v="1"/>
    <n v="0"/>
    <n v="0"/>
    <s v="WP; 50gr nie bo nie ma dla niego znaczenia, powinno być wycofane bo rośnie dług publiczny"/>
  </r>
  <r>
    <n v="59"/>
    <x v="1"/>
    <x v="2"/>
    <x v="1"/>
    <x v="1"/>
    <n v="30"/>
    <x v="1"/>
    <x v="2"/>
    <x v="3"/>
    <x v="1"/>
    <x v="1"/>
    <s v="08.08.17"/>
    <x v="2"/>
    <x v="6"/>
    <x v="1"/>
    <s v="never"/>
    <n v="1"/>
    <s v="nie"/>
    <x v="4"/>
    <x v="1"/>
    <m/>
    <n v="0"/>
    <n v="1"/>
    <n v="0"/>
    <n v="0"/>
    <n v="1"/>
    <n v="0"/>
    <n v="0"/>
    <n v="0"/>
    <s v="WJ i TP więc za 50gr zmienił zdanie"/>
  </r>
  <r>
    <n v="60"/>
    <x v="6"/>
    <x v="2"/>
    <x v="1"/>
    <x v="2"/>
    <n v="21"/>
    <x v="3"/>
    <x v="1"/>
    <x v="5"/>
    <x v="1"/>
    <x v="3"/>
    <s v="08.08.17"/>
    <x v="2"/>
    <x v="6"/>
    <x v="1"/>
    <s v="rarely"/>
    <n v="2"/>
    <s v="kilka x w życiu"/>
    <x v="4"/>
    <x v="3"/>
    <m/>
    <n v="0"/>
    <n v="1"/>
    <n v="0"/>
    <n v="0"/>
    <n v="0"/>
    <n v="0"/>
    <n v="0"/>
    <n v="0"/>
    <s v="WJ"/>
  </r>
  <r>
    <n v="61"/>
    <x v="2"/>
    <x v="1"/>
    <x v="2"/>
    <x v="1"/>
    <n v="33"/>
    <x v="1"/>
    <x v="2"/>
    <x v="6"/>
    <x v="1"/>
    <x v="1"/>
    <s v="09.08.17"/>
    <x v="1"/>
    <x v="5"/>
    <x v="1"/>
    <s v="never"/>
    <n v="1"/>
    <s v="nie"/>
    <x v="1"/>
    <x v="1"/>
    <m/>
    <n v="1"/>
    <n v="0"/>
    <n v="0"/>
    <n v="0"/>
    <n v="1"/>
    <n v="0"/>
    <n v="0"/>
    <n v="0"/>
    <s v="R bo lepiej rozstawione ale za 1zł zmienił zdanie bo TP"/>
  </r>
  <r>
    <n v="62"/>
    <x v="2"/>
    <x v="1"/>
    <x v="2"/>
    <x v="2"/>
    <n v="33"/>
    <x v="1"/>
    <x v="1"/>
    <x v="1"/>
    <x v="1"/>
    <x v="4"/>
    <s v="09.08.17"/>
    <x v="1"/>
    <x v="5"/>
    <x v="1"/>
    <s v="never"/>
    <n v="1"/>
    <s v="nie"/>
    <x v="1"/>
    <x v="2"/>
    <m/>
    <n v="1"/>
    <n v="0"/>
    <n v="0"/>
    <n v="0"/>
    <n v="0"/>
    <n v="0"/>
    <n v="1"/>
    <n v="0"/>
    <s v="bo większa różnorodność"/>
  </r>
  <r>
    <n v="63"/>
    <x v="2"/>
    <x v="1"/>
    <x v="2"/>
    <x v="2"/>
    <n v="32"/>
    <x v="1"/>
    <x v="1"/>
    <x v="1"/>
    <x v="1"/>
    <x v="1"/>
    <s v="09.08.17"/>
    <x v="1"/>
    <x v="5"/>
    <x v="1"/>
    <s v="never"/>
    <n v="1"/>
    <s v="nie"/>
    <x v="5"/>
    <x v="3"/>
    <s v="U44"/>
    <n v="0"/>
    <n v="0"/>
    <n v="1"/>
    <n v="0"/>
    <n v="0"/>
    <n v="0"/>
    <n v="0"/>
    <n v="0"/>
    <s v="U44"/>
  </r>
  <r>
    <n v="64"/>
    <x v="2"/>
    <x v="1"/>
    <x v="2"/>
    <x v="1"/>
    <n v="22"/>
    <x v="1"/>
    <x v="1"/>
    <x v="1"/>
    <x v="1"/>
    <x v="4"/>
    <s v="09.08.17"/>
    <x v="1"/>
    <x v="5"/>
    <x v="1"/>
    <s v="regularly"/>
    <n v="4"/>
    <s v="10x w roku"/>
    <x v="2"/>
    <x v="3"/>
    <m/>
    <n v="0"/>
    <n v="0"/>
    <n v="0"/>
    <n v="0"/>
    <n v="0"/>
    <n v="0"/>
    <n v="1"/>
    <n v="0"/>
    <s v="bo nie po kolei"/>
  </r>
  <r>
    <n v="65"/>
    <x v="2"/>
    <x v="1"/>
    <x v="2"/>
    <x v="2"/>
    <n v="42"/>
    <x v="1"/>
    <x v="1"/>
    <x v="1"/>
    <x v="1"/>
    <x v="3"/>
    <s v="09.08.17"/>
    <x v="1"/>
    <x v="5"/>
    <x v="1"/>
    <s v="never"/>
    <n v="1"/>
    <s v="nie"/>
    <x v="5"/>
    <x v="3"/>
    <m/>
    <n v="0"/>
    <n v="0"/>
    <n v="1"/>
    <n v="0"/>
    <n v="0"/>
    <n v="0"/>
    <n v="0"/>
    <n v="0"/>
    <s v="bo był dzień urodzin"/>
  </r>
  <r>
    <n v="66"/>
    <x v="2"/>
    <x v="1"/>
    <x v="2"/>
    <x v="1"/>
    <n v="44"/>
    <x v="1"/>
    <x v="1"/>
    <x v="1"/>
    <x v="1"/>
    <x v="1"/>
    <s v="09.08.17"/>
    <x v="1"/>
    <x v="5"/>
    <x v="1"/>
    <s v="occasionally"/>
    <n v="3"/>
    <s v="kilka x w roku"/>
    <x v="2"/>
    <x v="3"/>
    <m/>
    <n v="0"/>
    <n v="0"/>
    <n v="0"/>
    <n v="0"/>
    <n v="0"/>
    <n v="0"/>
    <n v="1"/>
    <n v="0"/>
    <s v="bo nie po koleijak w H1"/>
  </r>
  <r>
    <n v="67"/>
    <x v="2"/>
    <x v="2"/>
    <x v="2"/>
    <x v="2"/>
    <n v="41"/>
    <x v="1"/>
    <x v="1"/>
    <x v="1"/>
    <x v="1"/>
    <x v="1"/>
    <s v="09.08.17"/>
    <x v="1"/>
    <x v="5"/>
    <x v="1"/>
    <s v="never"/>
    <n v="1"/>
    <s v="nie"/>
    <x v="1"/>
    <x v="2"/>
    <m/>
    <n v="1"/>
    <n v="0"/>
    <n v="0"/>
    <n v="0"/>
    <n v="0"/>
    <n v="0"/>
    <n v="1"/>
    <n v="0"/>
    <s v="bo mniej usystematyzowane"/>
  </r>
  <r>
    <n v="68"/>
    <x v="2"/>
    <x v="2"/>
    <x v="2"/>
    <x v="2"/>
    <n v="30"/>
    <x v="1"/>
    <x v="2"/>
    <x v="6"/>
    <x v="1"/>
    <x v="1"/>
    <s v="09.08.17"/>
    <x v="1"/>
    <x v="5"/>
    <x v="1"/>
    <s v="rarely"/>
    <n v="2"/>
    <s v="1x w życiu"/>
    <x v="4"/>
    <x v="1"/>
    <m/>
    <n v="0"/>
    <n v="1"/>
    <n v="0"/>
    <n v="0"/>
    <n v="1"/>
    <n v="0"/>
    <n v="0"/>
    <n v="0"/>
    <s v="WJ i TP więc za 1zł zmienił zdanie"/>
  </r>
  <r>
    <n v="69"/>
    <x v="2"/>
    <x v="1"/>
    <x v="1"/>
    <x v="2"/>
    <n v="28"/>
    <x v="1"/>
    <x v="1"/>
    <x v="1"/>
    <x v="1"/>
    <x v="3"/>
    <s v="09.08.17"/>
    <x v="1"/>
    <x v="5"/>
    <x v="1"/>
    <s v="rarely"/>
    <n v="2"/>
    <s v="bardzo rzadko"/>
    <x v="2"/>
    <x v="3"/>
    <m/>
    <n v="0"/>
    <n v="0"/>
    <n v="0"/>
    <n v="0"/>
    <n v="0"/>
    <n v="0"/>
    <n v="1"/>
    <n v="0"/>
    <s v="bo bardziej rozstawione"/>
  </r>
  <r>
    <n v="70"/>
    <x v="2"/>
    <x v="1"/>
    <x v="1"/>
    <x v="2"/>
    <n v="21"/>
    <x v="5"/>
    <x v="1"/>
    <x v="6"/>
    <x v="1"/>
    <x v="3"/>
    <s v="09.08.17"/>
    <x v="1"/>
    <x v="5"/>
    <x v="1"/>
    <s v="rarely"/>
    <n v="2"/>
    <s v="2x w roku"/>
    <x v="6"/>
    <x v="3"/>
    <m/>
    <n v="0"/>
    <n v="0"/>
    <n v="0"/>
    <n v="0"/>
    <n v="0"/>
    <n v="0"/>
    <n v="0"/>
    <n v="1"/>
    <s v="ładniejsza kolejność liczb"/>
  </r>
  <r>
    <n v="71"/>
    <x v="2"/>
    <x v="1"/>
    <x v="1"/>
    <x v="2"/>
    <n v="32"/>
    <x v="1"/>
    <x v="1"/>
    <x v="1"/>
    <x v="2"/>
    <x v="1"/>
    <s v="09.08.17"/>
    <x v="1"/>
    <x v="5"/>
    <x v="1"/>
    <s v="never"/>
    <n v="1"/>
    <s v="nie"/>
    <x v="8"/>
    <x v="2"/>
    <m/>
    <n v="0"/>
    <n v="0"/>
    <n v="0"/>
    <n v="0"/>
    <n v="0"/>
    <n v="1"/>
    <n v="1"/>
    <n v="0"/>
    <s v="WP że nie będzie po kolei"/>
  </r>
  <r>
    <n v="72"/>
    <x v="4"/>
    <x v="1"/>
    <x v="2"/>
    <x v="2"/>
    <n v="15"/>
    <x v="1"/>
    <x v="1"/>
    <x v="1"/>
    <x v="2"/>
    <x v="3"/>
    <s v="09.08.17"/>
    <x v="1"/>
    <x v="5"/>
    <x v="1"/>
    <s v="never"/>
    <n v="1"/>
    <s v="nie"/>
    <x v="5"/>
    <x v="3"/>
    <s v="U5"/>
    <n v="0"/>
    <n v="0"/>
    <n v="1"/>
    <n v="0"/>
    <n v="0"/>
    <n v="0"/>
    <n v="0"/>
    <n v="0"/>
    <s v="bo ulubiona liczba 5 była na początku"/>
  </r>
  <r>
    <n v="73"/>
    <x v="4"/>
    <x v="1"/>
    <x v="2"/>
    <x v="2"/>
    <n v="40"/>
    <x v="4"/>
    <x v="1"/>
    <x v="4"/>
    <x v="2"/>
    <x v="4"/>
    <s v="09.08.17"/>
    <x v="1"/>
    <x v="5"/>
    <x v="1"/>
    <s v="regularly"/>
    <n v="4"/>
    <s v="często z mężem"/>
    <x v="5"/>
    <x v="3"/>
    <m/>
    <n v="0"/>
    <n v="0"/>
    <n v="1"/>
    <n v="0"/>
    <n v="0"/>
    <n v="0"/>
    <n v="0"/>
    <n v="0"/>
    <s v="bo była jej data urodzin"/>
  </r>
  <r>
    <n v="74"/>
    <x v="4"/>
    <x v="1"/>
    <x v="2"/>
    <x v="1"/>
    <n v="37"/>
    <x v="4"/>
    <x v="2"/>
    <x v="1"/>
    <x v="2"/>
    <x v="3"/>
    <s v="09.08.17"/>
    <x v="1"/>
    <x v="5"/>
    <x v="1"/>
    <s v="never"/>
    <n v="1"/>
    <s v="nie"/>
    <x v="6"/>
    <x v="3"/>
    <m/>
    <n v="0"/>
    <n v="0"/>
    <n v="0"/>
    <n v="0"/>
    <n v="0"/>
    <n v="0"/>
    <n v="0"/>
    <n v="1"/>
    <s v="bo ładniej ułożone ale za 1zł zmienił zdanie"/>
  </r>
  <r>
    <n v="75"/>
    <x v="4"/>
    <x v="1"/>
    <x v="2"/>
    <x v="2"/>
    <n v="36"/>
    <x v="4"/>
    <x v="1"/>
    <x v="4"/>
    <x v="2"/>
    <x v="4"/>
    <s v="09.08.17"/>
    <x v="1"/>
    <x v="5"/>
    <x v="1"/>
    <s v="never"/>
    <n v="1"/>
    <s v="nie"/>
    <x v="6"/>
    <x v="3"/>
    <m/>
    <n v="0"/>
    <n v="0"/>
    <n v="0"/>
    <n v="0"/>
    <n v="0"/>
    <n v="0"/>
    <n v="0"/>
    <n v="1"/>
    <s v="M1 bo ładniejszy ciag"/>
  </r>
  <r>
    <n v="76"/>
    <x v="3"/>
    <x v="2"/>
    <x v="1"/>
    <x v="2"/>
    <n v="51"/>
    <x v="1"/>
    <x v="1"/>
    <x v="1"/>
    <x v="2"/>
    <x v="3"/>
    <s v="09.08.17"/>
    <x v="1"/>
    <x v="5"/>
    <x v="1"/>
    <s v="never"/>
    <n v="1"/>
    <s v="nie"/>
    <x v="4"/>
    <x v="1"/>
    <m/>
    <n v="0"/>
    <n v="1"/>
    <n v="0"/>
    <n v="0"/>
    <n v="1"/>
    <n v="0"/>
    <n v="0"/>
    <n v="0"/>
    <s v="WJ, TP, 50gr nie, jak by dać więcej to może by zmienił zdanie"/>
  </r>
  <r>
    <n v="77"/>
    <x v="3"/>
    <x v="2"/>
    <x v="1"/>
    <x v="2"/>
    <n v="15"/>
    <x v="6"/>
    <x v="1"/>
    <x v="2"/>
    <x v="2"/>
    <x v="3"/>
    <s v="09.08.17"/>
    <x v="1"/>
    <x v="5"/>
    <x v="1"/>
    <s v="never"/>
    <n v="1"/>
    <s v="nie"/>
    <x v="5"/>
    <x v="3"/>
    <s v="U15"/>
    <n v="0"/>
    <n v="0"/>
    <n v="1"/>
    <n v="0"/>
    <n v="0"/>
    <n v="0"/>
    <n v="0"/>
    <n v="0"/>
    <s v="U15"/>
  </r>
  <r>
    <n v="78"/>
    <x v="3"/>
    <x v="2"/>
    <x v="1"/>
    <x v="1"/>
    <n v="31"/>
    <x v="1"/>
    <x v="1"/>
    <x v="1"/>
    <x v="1"/>
    <x v="4"/>
    <s v="09.08.17"/>
    <x v="1"/>
    <x v="5"/>
    <x v="1"/>
    <s v="occasionally"/>
    <n v="3"/>
    <s v="1x na 3 mies"/>
    <x v="8"/>
    <x v="3"/>
    <m/>
    <n v="0"/>
    <n v="0"/>
    <n v="0"/>
    <n v="0"/>
    <n v="0"/>
    <n v="1"/>
    <n v="0"/>
    <n v="0"/>
    <s v="R bo bardziej prawdopodobne niż co 5"/>
  </r>
  <r>
    <n v="79"/>
    <x v="5"/>
    <x v="1"/>
    <x v="2"/>
    <x v="2"/>
    <n v="34"/>
    <x v="1"/>
    <x v="1"/>
    <x v="1"/>
    <x v="1"/>
    <x v="3"/>
    <s v="09.08.17"/>
    <x v="1"/>
    <x v="5"/>
    <x v="1"/>
    <s v="never"/>
    <n v="1"/>
    <s v="nie"/>
    <x v="6"/>
    <x v="3"/>
    <m/>
    <n v="0"/>
    <n v="0"/>
    <n v="0"/>
    <n v="0"/>
    <n v="0"/>
    <n v="0"/>
    <n v="0"/>
    <n v="1"/>
    <s v="R bo liczby bardziej się podobały"/>
  </r>
  <r>
    <n v="80"/>
    <x v="5"/>
    <x v="1"/>
    <x v="2"/>
    <x v="2"/>
    <n v="21"/>
    <x v="1"/>
    <x v="1"/>
    <x v="1"/>
    <x v="1"/>
    <x v="1"/>
    <s v="09.08.17"/>
    <x v="1"/>
    <x v="5"/>
    <x v="1"/>
    <s v="occasionally"/>
    <n v="3"/>
    <s v="kilka x w roku"/>
    <x v="5"/>
    <x v="3"/>
    <s v="U4, 6"/>
    <n v="0"/>
    <n v="0"/>
    <n v="1"/>
    <n v="0"/>
    <n v="0"/>
    <n v="0"/>
    <n v="0"/>
    <n v="0"/>
    <s v="R bo liczby 4 i 6 które preferuje"/>
  </r>
  <r>
    <n v="81"/>
    <x v="5"/>
    <x v="1"/>
    <x v="2"/>
    <x v="2"/>
    <n v="70"/>
    <x v="1"/>
    <x v="1"/>
    <x v="1"/>
    <x v="1"/>
    <x v="4"/>
    <s v="09.08.17"/>
    <x v="1"/>
    <x v="5"/>
    <x v="1"/>
    <s v="never"/>
    <n v="1"/>
    <s v="nie"/>
    <x v="6"/>
    <x v="3"/>
    <m/>
    <n v="0"/>
    <n v="0"/>
    <n v="0"/>
    <n v="0"/>
    <n v="0"/>
    <n v="0"/>
    <n v="0"/>
    <n v="1"/>
    <s v="LS"/>
  </r>
  <r>
    <n v="82"/>
    <x v="5"/>
    <x v="1"/>
    <x v="2"/>
    <x v="2"/>
    <n v="47"/>
    <x v="1"/>
    <x v="1"/>
    <x v="1"/>
    <x v="2"/>
    <x v="2"/>
    <s v="09.08.17"/>
    <x v="1"/>
    <x v="5"/>
    <x v="1"/>
    <s v="never"/>
    <n v="1"/>
    <s v="nie"/>
    <x v="3"/>
    <x v="3"/>
    <m/>
    <n v="0"/>
    <n v="0"/>
    <n v="0"/>
    <n v="1"/>
    <n v="0"/>
    <n v="0"/>
    <n v="0"/>
    <n v="0"/>
    <s v="R bo tak o wybrała bez powodu, wszystko jedno"/>
  </r>
  <r>
    <n v="83"/>
    <x v="5"/>
    <x v="1"/>
    <x v="2"/>
    <x v="1"/>
    <n v="30"/>
    <x v="1"/>
    <x v="1"/>
    <x v="1"/>
    <x v="2"/>
    <x v="3"/>
    <s v="09.08.17"/>
    <x v="1"/>
    <x v="5"/>
    <x v="1"/>
    <s v="rarely"/>
    <n v="2"/>
    <s v="rzadko"/>
    <x v="1"/>
    <x v="2"/>
    <m/>
    <n v="1"/>
    <n v="0"/>
    <n v="0"/>
    <n v="0"/>
    <n v="0"/>
    <n v="0"/>
    <n v="1"/>
    <n v="0"/>
    <s v="bo większa dywersyfikacja"/>
  </r>
  <r>
    <n v="84"/>
    <x v="5"/>
    <x v="1"/>
    <x v="2"/>
    <x v="2"/>
    <n v="44"/>
    <x v="2"/>
    <x v="1"/>
    <x v="7"/>
    <x v="2"/>
    <x v="1"/>
    <s v="09.08.17"/>
    <x v="2"/>
    <x v="5"/>
    <x v="1"/>
    <s v="regularly"/>
    <n v="4"/>
    <s v="1x w mies"/>
    <x v="5"/>
    <x v="6"/>
    <s v="U35"/>
    <n v="0"/>
    <n v="0"/>
    <n v="1"/>
    <n v="0"/>
    <n v="0"/>
    <n v="0"/>
    <n v="0"/>
    <n v="1"/>
    <s v="H5 bo zaczyna się od 35 a lubi tę liczbę oraz mniejsze rozrzucenie liczb"/>
  </r>
  <r>
    <n v="85"/>
    <x v="6"/>
    <x v="1"/>
    <x v="1"/>
    <x v="2"/>
    <n v="57"/>
    <x v="3"/>
    <x v="1"/>
    <x v="5"/>
    <x v="1"/>
    <x v="4"/>
    <s v="09.08.17"/>
    <x v="2"/>
    <x v="5"/>
    <x v="1"/>
    <s v="always"/>
    <n v="5"/>
    <s v="1x w tygodniu"/>
    <x v="5"/>
    <x v="3"/>
    <m/>
    <n v="0"/>
    <n v="0"/>
    <n v="1"/>
    <n v="0"/>
    <n v="0"/>
    <n v="0"/>
    <n v="0"/>
    <n v="0"/>
    <s v="daty urodzin rodziny"/>
  </r>
  <r>
    <n v="86"/>
    <x v="6"/>
    <x v="1"/>
    <x v="1"/>
    <x v="1"/>
    <n v="33"/>
    <x v="3"/>
    <x v="1"/>
    <x v="5"/>
    <x v="1"/>
    <x v="1"/>
    <s v="09.08.17"/>
    <x v="2"/>
    <x v="5"/>
    <x v="1"/>
    <s v="never"/>
    <n v="1"/>
    <s v="nie"/>
    <x v="6"/>
    <x v="3"/>
    <m/>
    <n v="0"/>
    <n v="0"/>
    <n v="0"/>
    <n v="0"/>
    <n v="0"/>
    <n v="0"/>
    <n v="0"/>
    <n v="1"/>
    <s v="bo podzielne przez 5 i bardziej mu się podoba"/>
  </r>
  <r>
    <n v="87"/>
    <x v="6"/>
    <x v="1"/>
    <x v="1"/>
    <x v="2"/>
    <n v="43"/>
    <x v="1"/>
    <x v="1"/>
    <x v="1"/>
    <x v="1"/>
    <x v="4"/>
    <s v="09.08.17"/>
    <x v="2"/>
    <x v="5"/>
    <x v="1"/>
    <s v="never"/>
    <n v="1"/>
    <s v="nie"/>
    <x v="1"/>
    <x v="3"/>
    <m/>
    <n v="1"/>
    <n v="0"/>
    <n v="0"/>
    <n v="0"/>
    <n v="0"/>
    <n v="0"/>
    <n v="0"/>
    <n v="0"/>
    <s v="BL"/>
  </r>
  <r>
    <n v="88"/>
    <x v="6"/>
    <x v="1"/>
    <x v="1"/>
    <x v="1"/>
    <n v="45"/>
    <x v="1"/>
    <x v="1"/>
    <x v="1"/>
    <x v="1"/>
    <x v="4"/>
    <s v="09.08.17"/>
    <x v="2"/>
    <x v="5"/>
    <x v="1"/>
    <s v="rarely"/>
    <n v="2"/>
    <s v="rzadko"/>
    <x v="1"/>
    <x v="2"/>
    <m/>
    <n v="1"/>
    <n v="0"/>
    <n v="0"/>
    <n v="0"/>
    <n v="0"/>
    <n v="0"/>
    <n v="1"/>
    <n v="0"/>
    <s v="bo nie co 5"/>
  </r>
  <r>
    <n v="89"/>
    <x v="5"/>
    <x v="1"/>
    <x v="1"/>
    <x v="1"/>
    <n v="33"/>
    <x v="2"/>
    <x v="1"/>
    <x v="7"/>
    <x v="1"/>
    <x v="1"/>
    <s v="09.08.17"/>
    <x v="2"/>
    <x v="5"/>
    <x v="1"/>
    <s v="never"/>
    <n v="1"/>
    <s v="nie"/>
    <x v="6"/>
    <x v="5"/>
    <s v="U0"/>
    <n v="0"/>
    <n v="0"/>
    <n v="1"/>
    <n v="0"/>
    <n v="0"/>
    <n v="0"/>
    <n v="0"/>
    <n v="1"/>
    <s v="bo więcej 0 a lubi zera"/>
  </r>
  <r>
    <n v="90"/>
    <x v="5"/>
    <x v="1"/>
    <x v="1"/>
    <x v="2"/>
    <n v="23"/>
    <x v="1"/>
    <x v="1"/>
    <x v="1"/>
    <x v="1"/>
    <x v="1"/>
    <s v="09.08.17"/>
    <x v="2"/>
    <x v="7"/>
    <x v="1"/>
    <s v="never"/>
    <n v="1"/>
    <s v="nie"/>
    <x v="2"/>
    <x v="3"/>
    <m/>
    <n v="0"/>
    <n v="0"/>
    <n v="0"/>
    <n v="0"/>
    <n v="0"/>
    <n v="0"/>
    <n v="1"/>
    <n v="0"/>
    <s v="R bo są z całego przedziału a nie tylko z końca"/>
  </r>
  <r>
    <n v="91"/>
    <x v="5"/>
    <x v="1"/>
    <x v="1"/>
    <x v="2"/>
    <n v="71"/>
    <x v="1"/>
    <x v="1"/>
    <x v="1"/>
    <x v="1"/>
    <x v="4"/>
    <s v="09.08.17"/>
    <x v="2"/>
    <x v="7"/>
    <x v="1"/>
    <s v="always"/>
    <n v="5"/>
    <s v="regularnie"/>
    <x v="6"/>
    <x v="3"/>
    <m/>
    <n v="0"/>
    <n v="0"/>
    <n v="0"/>
    <n v="0"/>
    <n v="0"/>
    <n v="0"/>
    <n v="0"/>
    <n v="1"/>
    <s v="R bo jej się bardziej podobał ciąg"/>
  </r>
  <r>
    <n v="92"/>
    <x v="5"/>
    <x v="1"/>
    <x v="1"/>
    <x v="2"/>
    <n v="43"/>
    <x v="2"/>
    <x v="1"/>
    <x v="7"/>
    <x v="1"/>
    <x v="1"/>
    <s v="09.08.17"/>
    <x v="2"/>
    <x v="7"/>
    <x v="1"/>
    <s v="occasionally"/>
    <n v="3"/>
    <s v="kilka x w roku"/>
    <x v="6"/>
    <x v="3"/>
    <m/>
    <n v="0"/>
    <n v="0"/>
    <n v="0"/>
    <n v="0"/>
    <n v="0"/>
    <n v="0"/>
    <n v="0"/>
    <n v="1"/>
    <s v="lubi wyższe liczby i tak zawsze gra"/>
  </r>
  <r>
    <n v="93"/>
    <x v="4"/>
    <x v="2"/>
    <x v="2"/>
    <x v="1"/>
    <n v="23"/>
    <x v="1"/>
    <x v="1"/>
    <x v="1"/>
    <x v="2"/>
    <x v="1"/>
    <s v="09.08.17"/>
    <x v="2"/>
    <x v="7"/>
    <x v="1"/>
    <s v="occasionally"/>
    <n v="3"/>
    <s v="czasami mecze"/>
    <x v="1"/>
    <x v="3"/>
    <m/>
    <n v="1"/>
    <n v="0"/>
    <n v="0"/>
    <n v="0"/>
    <n v="0"/>
    <n v="0"/>
    <n v="0"/>
    <n v="0"/>
    <s v="BL"/>
  </r>
  <r>
    <n v="94"/>
    <x v="4"/>
    <x v="2"/>
    <x v="2"/>
    <x v="1"/>
    <n v="38"/>
    <x v="1"/>
    <x v="1"/>
    <x v="1"/>
    <x v="2"/>
    <x v="1"/>
    <s v="09.08.17"/>
    <x v="2"/>
    <x v="7"/>
    <x v="1"/>
    <s v="never"/>
    <n v="1"/>
    <s v="nie"/>
    <x v="8"/>
    <x v="3"/>
    <m/>
    <n v="0"/>
    <n v="0"/>
    <n v="0"/>
    <n v="0"/>
    <n v="0"/>
    <n v="1"/>
    <n v="0"/>
    <n v="0"/>
    <s v="R bo w M1 małe liczby obok siebie więc tak nie wypadną"/>
  </r>
  <r>
    <n v="95"/>
    <x v="4"/>
    <x v="2"/>
    <x v="2"/>
    <x v="2"/>
    <n v="65"/>
    <x v="1"/>
    <x v="1"/>
    <x v="1"/>
    <x v="2"/>
    <x v="4"/>
    <s v="09.08.17"/>
    <x v="2"/>
    <x v="7"/>
    <x v="1"/>
    <s v="occasionally"/>
    <n v="3"/>
    <s v="kilka x w roku"/>
    <x v="4"/>
    <x v="3"/>
    <m/>
    <n v="0"/>
    <n v="1"/>
    <n v="0"/>
    <n v="0"/>
    <n v="0"/>
    <n v="0"/>
    <n v="0"/>
    <n v="0"/>
    <s v="WJ"/>
  </r>
  <r>
    <n v="96"/>
    <x v="4"/>
    <x v="2"/>
    <x v="2"/>
    <x v="1"/>
    <n v="32"/>
    <x v="1"/>
    <x v="1"/>
    <x v="1"/>
    <x v="2"/>
    <x v="1"/>
    <s v="09.08.17"/>
    <x v="2"/>
    <x v="7"/>
    <x v="1"/>
    <s v="never"/>
    <n v="1"/>
    <s v="nie"/>
    <x v="8"/>
    <x v="2"/>
    <m/>
    <n v="0"/>
    <n v="0"/>
    <n v="0"/>
    <n v="0"/>
    <n v="0"/>
    <n v="1"/>
    <n v="1"/>
    <n v="0"/>
    <s v="R bo na pewno nie wypadnie po kolei jak w M1"/>
  </r>
  <r>
    <n v="97"/>
    <x v="4"/>
    <x v="1"/>
    <x v="1"/>
    <x v="1"/>
    <n v="25"/>
    <x v="1"/>
    <x v="2"/>
    <x v="4"/>
    <x v="1"/>
    <x v="1"/>
    <s v="09.08.17"/>
    <x v="2"/>
    <x v="7"/>
    <x v="1"/>
    <s v="rarely"/>
    <n v="2"/>
    <s v="rzadko"/>
    <x v="2"/>
    <x v="1"/>
    <m/>
    <n v="0"/>
    <n v="0"/>
    <n v="0"/>
    <n v="0"/>
    <n v="1"/>
    <n v="0"/>
    <n v="1"/>
    <n v="0"/>
    <s v="R bo nie po kolei ale za 50gr zmienił zdanie bo i tak ta sama szansa"/>
  </r>
  <r>
    <n v="98"/>
    <x v="3"/>
    <x v="1"/>
    <x v="2"/>
    <x v="1"/>
    <n v="32"/>
    <x v="1"/>
    <x v="1"/>
    <x v="1"/>
    <x v="1"/>
    <x v="1"/>
    <s v="09.08.17"/>
    <x v="2"/>
    <x v="7"/>
    <x v="1"/>
    <s v="occasionally"/>
    <n v="3"/>
    <s v="nie, tylko poker czasami"/>
    <x v="1"/>
    <x v="3"/>
    <m/>
    <n v="1"/>
    <n v="0"/>
    <n v="0"/>
    <n v="0"/>
    <n v="0"/>
    <n v="0"/>
    <n v="0"/>
    <n v="0"/>
    <s v="bo bardziej losowe a nie co 5"/>
  </r>
  <r>
    <n v="99"/>
    <x v="3"/>
    <x v="1"/>
    <x v="2"/>
    <x v="1"/>
    <n v="36"/>
    <x v="1"/>
    <x v="1"/>
    <x v="1"/>
    <x v="1"/>
    <x v="4"/>
    <s v="09.08.17"/>
    <x v="2"/>
    <x v="7"/>
    <x v="1"/>
    <s v="rarely"/>
    <n v="2"/>
    <s v="rzadko"/>
    <x v="1"/>
    <x v="2"/>
    <m/>
    <n v="1"/>
    <n v="0"/>
    <n v="0"/>
    <n v="0"/>
    <n v="0"/>
    <n v="0"/>
    <n v="1"/>
    <n v="0"/>
    <s v="bo nie co 5"/>
  </r>
  <r>
    <n v="100"/>
    <x v="3"/>
    <x v="1"/>
    <x v="2"/>
    <x v="1"/>
    <n v="32"/>
    <x v="6"/>
    <x v="1"/>
    <x v="2"/>
    <x v="1"/>
    <x v="1"/>
    <s v="09.08.17"/>
    <x v="2"/>
    <x v="7"/>
    <x v="1"/>
    <s v="rarely"/>
    <n v="2"/>
    <s v="bardzo rzadko Lotto"/>
    <x v="6"/>
    <x v="5"/>
    <s v="U5"/>
    <n v="0"/>
    <n v="0"/>
    <n v="1"/>
    <n v="0"/>
    <n v="0"/>
    <n v="0"/>
    <n v="0"/>
    <n v="1"/>
    <s v="U5 a tu wiele 5"/>
  </r>
  <r>
    <n v="101"/>
    <x v="3"/>
    <x v="1"/>
    <x v="2"/>
    <x v="1"/>
    <n v="26"/>
    <x v="1"/>
    <x v="1"/>
    <x v="1"/>
    <x v="1"/>
    <x v="3"/>
    <s v="09.08.17"/>
    <x v="2"/>
    <x v="7"/>
    <x v="1"/>
    <s v="occasionally"/>
    <n v="3"/>
    <s v="nie, mecze czasem"/>
    <x v="8"/>
    <x v="2"/>
    <m/>
    <n v="0"/>
    <n v="0"/>
    <n v="0"/>
    <n v="0"/>
    <n v="0"/>
    <n v="1"/>
    <n v="1"/>
    <n v="0"/>
    <s v="bo co 5 na pewno się nie trafi"/>
  </r>
  <r>
    <n v="102"/>
    <x v="3"/>
    <x v="1"/>
    <x v="2"/>
    <x v="1"/>
    <n v="39"/>
    <x v="6"/>
    <x v="2"/>
    <x v="1"/>
    <x v="1"/>
    <x v="1"/>
    <s v="09.08.17"/>
    <x v="2"/>
    <x v="7"/>
    <x v="1"/>
    <s v="never"/>
    <n v="1"/>
    <s v="nie"/>
    <x v="6"/>
    <x v="1"/>
    <m/>
    <n v="0"/>
    <n v="0"/>
    <n v="0"/>
    <n v="0"/>
    <n v="1"/>
    <n v="0"/>
    <n v="0"/>
    <n v="1"/>
    <s v="L5 bo lubi 5tki ale za 1zł zmienił zdanie bo i tak to samo prawd."/>
  </r>
  <r>
    <n v="103"/>
    <x v="3"/>
    <x v="1"/>
    <x v="2"/>
    <x v="1"/>
    <n v="28"/>
    <x v="1"/>
    <x v="1"/>
    <x v="1"/>
    <x v="1"/>
    <x v="3"/>
    <s v="09.08.17"/>
    <x v="2"/>
    <x v="7"/>
    <x v="1"/>
    <s v="never"/>
    <n v="1"/>
    <s v="nie"/>
    <x v="1"/>
    <x v="3"/>
    <m/>
    <n v="1"/>
    <n v="0"/>
    <n v="0"/>
    <n v="0"/>
    <n v="0"/>
    <n v="0"/>
    <n v="0"/>
    <n v="0"/>
    <s v="BL"/>
  </r>
  <r>
    <n v="104"/>
    <x v="3"/>
    <x v="1"/>
    <x v="2"/>
    <x v="1"/>
    <n v="34"/>
    <x v="1"/>
    <x v="1"/>
    <x v="1"/>
    <x v="1"/>
    <x v="4"/>
    <s v="09.08.17"/>
    <x v="2"/>
    <x v="7"/>
    <x v="1"/>
    <s v="rarely"/>
    <n v="2"/>
    <s v="rzadko, co duża kumulacja"/>
    <x v="1"/>
    <x v="3"/>
    <m/>
    <n v="1"/>
    <n v="0"/>
    <n v="0"/>
    <n v="0"/>
    <n v="0"/>
    <n v="0"/>
    <n v="0"/>
    <n v="0"/>
    <s v="BL"/>
  </r>
  <r>
    <n v="105"/>
    <x v="3"/>
    <x v="1"/>
    <x v="2"/>
    <x v="2"/>
    <n v="26"/>
    <x v="1"/>
    <x v="2"/>
    <x v="2"/>
    <x v="1"/>
    <x v="4"/>
    <s v="09.08.17"/>
    <x v="2"/>
    <x v="7"/>
    <x v="1"/>
    <s v="rarely"/>
    <n v="2"/>
    <s v="kilka x w życiu, co duża kumulacja"/>
    <x v="1"/>
    <x v="3"/>
    <m/>
    <n v="1"/>
    <n v="0"/>
    <n v="0"/>
    <n v="0"/>
    <n v="0"/>
    <n v="0"/>
    <n v="0"/>
    <n v="0"/>
    <s v="BL"/>
  </r>
  <r>
    <n v="106"/>
    <x v="6"/>
    <x v="1"/>
    <x v="1"/>
    <x v="2"/>
    <n v="65"/>
    <x v="3"/>
    <x v="1"/>
    <x v="5"/>
    <x v="2"/>
    <x v="1"/>
    <s v="11.08.17"/>
    <x v="1"/>
    <x v="8"/>
    <x v="1"/>
    <s v="rarely"/>
    <n v="2"/>
    <s v="bardzo rzadko, co duża kumulacja"/>
    <x v="6"/>
    <x v="3"/>
    <m/>
    <n v="0"/>
    <n v="0"/>
    <n v="0"/>
    <n v="0"/>
    <n v="0"/>
    <n v="0"/>
    <n v="0"/>
    <n v="1"/>
    <s v="M5 bo 5, 10, 15 się podobało"/>
  </r>
  <r>
    <n v="107"/>
    <x v="6"/>
    <x v="1"/>
    <x v="1"/>
    <x v="2"/>
    <n v="52"/>
    <x v="3"/>
    <x v="1"/>
    <x v="5"/>
    <x v="2"/>
    <x v="1"/>
    <s v="11.08.17"/>
    <x v="1"/>
    <x v="8"/>
    <x v="1"/>
    <s v="never"/>
    <n v="1"/>
    <s v="nie"/>
    <x v="6"/>
    <x v="3"/>
    <m/>
    <n v="0"/>
    <n v="0"/>
    <n v="0"/>
    <n v="0"/>
    <n v="0"/>
    <n v="0"/>
    <n v="0"/>
    <n v="1"/>
    <s v="ładne liczby"/>
  </r>
  <r>
    <n v="108"/>
    <x v="2"/>
    <x v="2"/>
    <x v="1"/>
    <x v="2"/>
    <n v="41"/>
    <x v="5"/>
    <x v="2"/>
    <x v="1"/>
    <x v="2"/>
    <x v="4"/>
    <s v="11.08.17"/>
    <x v="1"/>
    <x v="8"/>
    <x v="1"/>
    <s v="occasionally"/>
    <n v="3"/>
    <s v="kilka x w roku"/>
    <x v="6"/>
    <x v="3"/>
    <m/>
    <n v="0"/>
    <n v="0"/>
    <n v="0"/>
    <n v="0"/>
    <n v="0"/>
    <n v="0"/>
    <n v="0"/>
    <n v="1"/>
    <s v="bo liczby ładne ale za 50gr zmienił zdanie na R"/>
  </r>
  <r>
    <n v="109"/>
    <x v="2"/>
    <x v="2"/>
    <x v="1"/>
    <x v="2"/>
    <n v="39"/>
    <x v="5"/>
    <x v="1"/>
    <x v="6"/>
    <x v="2"/>
    <x v="4"/>
    <s v="11.08.17"/>
    <x v="1"/>
    <x v="8"/>
    <x v="1"/>
    <s v="occasionally"/>
    <n v="3"/>
    <s v="kilka x w roku"/>
    <x v="6"/>
    <x v="5"/>
    <s v="U7"/>
    <n v="0"/>
    <n v="0"/>
    <n v="1"/>
    <n v="0"/>
    <n v="0"/>
    <n v="0"/>
    <n v="0"/>
    <n v="1"/>
    <s v="bo dużo 7 a to ładna sekwencja"/>
  </r>
  <r>
    <n v="110"/>
    <x v="2"/>
    <x v="2"/>
    <x v="1"/>
    <x v="1"/>
    <n v="31"/>
    <x v="1"/>
    <x v="2"/>
    <x v="6"/>
    <x v="2"/>
    <x v="1"/>
    <s v="11.08.17"/>
    <x v="1"/>
    <x v="8"/>
    <x v="1"/>
    <s v="occasionally"/>
    <n v="3"/>
    <s v="kilka x w roku"/>
    <x v="1"/>
    <x v="3"/>
    <m/>
    <n v="1"/>
    <n v="0"/>
    <n v="0"/>
    <n v="0"/>
    <n v="0"/>
    <n v="0"/>
    <n v="0"/>
    <n v="0"/>
    <s v="BL"/>
  </r>
  <r>
    <n v="111"/>
    <x v="1"/>
    <x v="2"/>
    <x v="1"/>
    <x v="2"/>
    <n v="35"/>
    <x v="7"/>
    <x v="1"/>
    <x v="3"/>
    <x v="2"/>
    <x v="3"/>
    <s v="11.08.17"/>
    <x v="1"/>
    <x v="8"/>
    <x v="1"/>
    <s v="never"/>
    <n v="1"/>
    <s v="nie"/>
    <x v="8"/>
    <x v="3"/>
    <m/>
    <n v="0"/>
    <n v="0"/>
    <n v="0"/>
    <n v="0"/>
    <n v="0"/>
    <n v="1"/>
    <n v="0"/>
    <n v="0"/>
    <s v="WP"/>
  </r>
  <r>
    <n v="112"/>
    <x v="1"/>
    <x v="2"/>
    <x v="1"/>
    <x v="2"/>
    <n v="26"/>
    <x v="1"/>
    <x v="1"/>
    <x v="1"/>
    <x v="2"/>
    <x v="3"/>
    <s v="11.08.17"/>
    <x v="1"/>
    <x v="8"/>
    <x v="1"/>
    <s v="occasionally"/>
    <n v="3"/>
    <s v="kilka x w roku"/>
    <x v="1"/>
    <x v="5"/>
    <s v="U7"/>
    <n v="1"/>
    <n v="0"/>
    <n v="1"/>
    <n v="0"/>
    <n v="0"/>
    <n v="0"/>
    <n v="0"/>
    <n v="0"/>
    <s v="bo bardziej losowe i lubi 7emki"/>
  </r>
  <r>
    <n v="113"/>
    <x v="1"/>
    <x v="2"/>
    <x v="1"/>
    <x v="2"/>
    <n v="39"/>
    <x v="1"/>
    <x v="1"/>
    <x v="1"/>
    <x v="2"/>
    <x v="1"/>
    <s v="11.08.17"/>
    <x v="1"/>
    <x v="8"/>
    <x v="1"/>
    <s v="never"/>
    <n v="1"/>
    <s v="nie"/>
    <x v="8"/>
    <x v="3"/>
    <m/>
    <n v="0"/>
    <n v="0"/>
    <n v="0"/>
    <n v="0"/>
    <n v="0"/>
    <n v="1"/>
    <n v="0"/>
    <n v="0"/>
    <s v="WP"/>
  </r>
  <r>
    <n v="114"/>
    <x v="1"/>
    <x v="2"/>
    <x v="1"/>
    <x v="2"/>
    <n v="26"/>
    <x v="1"/>
    <x v="1"/>
    <x v="1"/>
    <x v="2"/>
    <x v="1"/>
    <s v="11.08.17"/>
    <x v="1"/>
    <x v="8"/>
    <x v="1"/>
    <s v="occasionally"/>
    <n v="3"/>
    <s v="5x w roku"/>
    <x v="9"/>
    <x v="3"/>
    <m/>
    <n v="0"/>
    <n v="0"/>
    <n v="0"/>
    <n v="0"/>
    <n v="0"/>
    <n v="0"/>
    <n v="0"/>
    <n v="0"/>
    <s v="WP "/>
  </r>
  <r>
    <n v="115"/>
    <x v="1"/>
    <x v="2"/>
    <x v="1"/>
    <x v="2"/>
    <n v="38"/>
    <x v="1"/>
    <x v="1"/>
    <x v="1"/>
    <x v="2"/>
    <x v="4"/>
    <s v="11.08.17"/>
    <x v="1"/>
    <x v="8"/>
    <x v="1"/>
    <s v="rarely"/>
    <n v="2"/>
    <s v="bardzo rzadko"/>
    <x v="1"/>
    <x v="2"/>
    <m/>
    <n v="1"/>
    <n v="0"/>
    <n v="0"/>
    <n v="0"/>
    <n v="0"/>
    <n v="0"/>
    <n v="1"/>
    <n v="0"/>
    <s v="bardziej zróżnicowane liczby"/>
  </r>
  <r>
    <n v="116"/>
    <x v="1"/>
    <x v="1"/>
    <x v="2"/>
    <x v="2"/>
    <n v="24"/>
    <x v="1"/>
    <x v="1"/>
    <x v="1"/>
    <x v="1"/>
    <x v="4"/>
    <s v="11.08.17"/>
    <x v="1"/>
    <x v="8"/>
    <x v="1"/>
    <s v="never"/>
    <n v="1"/>
    <s v="nie"/>
    <x v="1"/>
    <x v="3"/>
    <m/>
    <n v="1"/>
    <n v="0"/>
    <n v="0"/>
    <n v="0"/>
    <n v="0"/>
    <n v="0"/>
    <n v="0"/>
    <n v="0"/>
    <s v="BL"/>
  </r>
  <r>
    <n v="117"/>
    <x v="1"/>
    <x v="1"/>
    <x v="2"/>
    <x v="1"/>
    <n v="56"/>
    <x v="1"/>
    <x v="2"/>
    <x v="3"/>
    <x v="1"/>
    <x v="4"/>
    <s v="11.08.17"/>
    <x v="1"/>
    <x v="8"/>
    <x v="1"/>
    <s v="occasionally"/>
    <n v="3"/>
    <s v="kilka x w roku"/>
    <x v="1"/>
    <x v="3"/>
    <m/>
    <n v="1"/>
    <n v="0"/>
    <n v="0"/>
    <n v="0"/>
    <n v="0"/>
    <n v="0"/>
    <n v="0"/>
    <n v="0"/>
    <s v="BL"/>
  </r>
  <r>
    <n v="118"/>
    <x v="1"/>
    <x v="2"/>
    <x v="2"/>
    <x v="1"/>
    <n v="28"/>
    <x v="1"/>
    <x v="1"/>
    <x v="1"/>
    <x v="1"/>
    <x v="1"/>
    <s v="11.08.17"/>
    <x v="1"/>
    <x v="8"/>
    <x v="1"/>
    <s v="regularly"/>
    <n v="4"/>
    <s v="1x w mies"/>
    <x v="1"/>
    <x v="3"/>
    <m/>
    <n v="1"/>
    <n v="0"/>
    <n v="0"/>
    <n v="0"/>
    <n v="0"/>
    <n v="0"/>
    <n v="0"/>
    <n v="0"/>
    <s v="BL"/>
  </r>
  <r>
    <n v="119"/>
    <x v="1"/>
    <x v="2"/>
    <x v="2"/>
    <x v="2"/>
    <n v="58"/>
    <x v="1"/>
    <x v="1"/>
    <x v="1"/>
    <x v="1"/>
    <x v="4"/>
    <s v="11.08.17"/>
    <x v="1"/>
    <x v="8"/>
    <x v="1"/>
    <s v="occasionally"/>
    <n v="3"/>
    <s v="3x w roku"/>
    <x v="1"/>
    <x v="3"/>
    <m/>
    <n v="1"/>
    <n v="0"/>
    <n v="0"/>
    <n v="0"/>
    <n v="0"/>
    <n v="0"/>
    <n v="0"/>
    <n v="0"/>
    <s v="BL"/>
  </r>
  <r>
    <n v="120"/>
    <x v="1"/>
    <x v="1"/>
    <x v="2"/>
    <x v="2"/>
    <n v="35"/>
    <x v="1"/>
    <x v="1"/>
    <x v="1"/>
    <x v="1"/>
    <x v="4"/>
    <s v="11.08.17"/>
    <x v="1"/>
    <x v="8"/>
    <x v="1"/>
    <s v="never"/>
    <n v="1"/>
    <s v="nie"/>
    <x v="2"/>
    <x v="3"/>
    <m/>
    <n v="0"/>
    <n v="0"/>
    <n v="0"/>
    <n v="0"/>
    <n v="0"/>
    <n v="0"/>
    <n v="1"/>
    <n v="0"/>
    <s v="bo nie po kolei"/>
  </r>
  <r>
    <n v="121"/>
    <x v="1"/>
    <x v="1"/>
    <x v="2"/>
    <x v="2"/>
    <n v="34"/>
    <x v="1"/>
    <x v="1"/>
    <x v="1"/>
    <x v="1"/>
    <x v="3"/>
    <s v="11.08.17"/>
    <x v="1"/>
    <x v="8"/>
    <x v="1"/>
    <s v="never"/>
    <n v="1"/>
    <s v="nie"/>
    <x v="8"/>
    <x v="3"/>
    <m/>
    <n v="0"/>
    <n v="0"/>
    <n v="0"/>
    <n v="0"/>
    <n v="0"/>
    <n v="1"/>
    <n v="0"/>
    <n v="0"/>
    <s v="WP"/>
  </r>
  <r>
    <n v="122"/>
    <x v="1"/>
    <x v="1"/>
    <x v="2"/>
    <x v="2"/>
    <n v="36"/>
    <x v="1"/>
    <x v="1"/>
    <x v="1"/>
    <x v="1"/>
    <x v="1"/>
    <s v="11.08.17"/>
    <x v="1"/>
    <x v="8"/>
    <x v="1"/>
    <s v="occasionally"/>
    <n v="3"/>
    <s v="3x w roku"/>
    <x v="8"/>
    <x v="3"/>
    <m/>
    <n v="0"/>
    <n v="0"/>
    <n v="0"/>
    <n v="0"/>
    <n v="0"/>
    <n v="1"/>
    <n v="0"/>
    <n v="0"/>
    <s v="WP"/>
  </r>
  <r>
    <n v="123"/>
    <x v="1"/>
    <x v="1"/>
    <x v="2"/>
    <x v="2"/>
    <n v="26"/>
    <x v="1"/>
    <x v="1"/>
    <x v="1"/>
    <x v="1"/>
    <x v="1"/>
    <s v="11.08.17"/>
    <x v="1"/>
    <x v="8"/>
    <x v="1"/>
    <s v="rarely"/>
    <n v="2"/>
    <s v="2x w roku"/>
    <x v="8"/>
    <x v="3"/>
    <m/>
    <n v="0"/>
    <n v="0"/>
    <n v="0"/>
    <n v="0"/>
    <n v="0"/>
    <n v="1"/>
    <n v="0"/>
    <n v="0"/>
    <s v="WP"/>
  </r>
  <r>
    <n v="124"/>
    <x v="6"/>
    <x v="1"/>
    <x v="2"/>
    <x v="2"/>
    <n v="26"/>
    <x v="1"/>
    <x v="1"/>
    <x v="1"/>
    <x v="1"/>
    <x v="1"/>
    <s v="11.08.17"/>
    <x v="1"/>
    <x v="8"/>
    <x v="1"/>
    <s v="rarely"/>
    <n v="2"/>
    <s v="1x w życiu"/>
    <x v="8"/>
    <x v="3"/>
    <m/>
    <n v="0"/>
    <n v="0"/>
    <n v="0"/>
    <n v="0"/>
    <n v="0"/>
    <n v="1"/>
    <n v="0"/>
    <n v="0"/>
    <s v="WP"/>
  </r>
  <r>
    <n v="125"/>
    <x v="6"/>
    <x v="1"/>
    <x v="2"/>
    <x v="1"/>
    <n v="30"/>
    <x v="1"/>
    <x v="1"/>
    <x v="1"/>
    <x v="1"/>
    <x v="3"/>
    <s v="11.08.17"/>
    <x v="1"/>
    <x v="9"/>
    <x v="1"/>
    <s v="rarely"/>
    <n v="2"/>
    <s v="bardzo rzadko"/>
    <x v="1"/>
    <x v="3"/>
    <m/>
    <n v="1"/>
    <n v="0"/>
    <n v="0"/>
    <n v="0"/>
    <n v="0"/>
    <n v="0"/>
    <n v="0"/>
    <n v="0"/>
    <s v="BL"/>
  </r>
  <r>
    <n v="126"/>
    <x v="6"/>
    <x v="1"/>
    <x v="2"/>
    <x v="2"/>
    <n v="63"/>
    <x v="3"/>
    <x v="1"/>
    <x v="5"/>
    <x v="1"/>
    <x v="4"/>
    <s v="11.08.17"/>
    <x v="1"/>
    <x v="9"/>
    <x v="1"/>
    <s v="never"/>
    <n v="1"/>
    <s v="nie"/>
    <x v="6"/>
    <x v="5"/>
    <s v="U5"/>
    <n v="0"/>
    <n v="0"/>
    <n v="1"/>
    <n v="0"/>
    <n v="0"/>
    <n v="0"/>
    <n v="0"/>
    <n v="1"/>
    <s v="bo lubi 5tki"/>
  </r>
  <r>
    <n v="127"/>
    <x v="6"/>
    <x v="1"/>
    <x v="2"/>
    <x v="1"/>
    <n v="26"/>
    <x v="1"/>
    <x v="1"/>
    <x v="1"/>
    <x v="1"/>
    <x v="4"/>
    <s v="11.08.17"/>
    <x v="1"/>
    <x v="9"/>
    <x v="1"/>
    <s v="always"/>
    <n v="5"/>
    <s v="kilka x w mies"/>
    <x v="8"/>
    <x v="2"/>
    <m/>
    <n v="0"/>
    <n v="0"/>
    <n v="0"/>
    <n v="0"/>
    <n v="0"/>
    <n v="1"/>
    <n v="1"/>
    <n v="0"/>
    <s v="bo nie będzie co 5"/>
  </r>
  <r>
    <n v="128"/>
    <x v="6"/>
    <x v="1"/>
    <x v="2"/>
    <x v="1"/>
    <n v="25"/>
    <x v="1"/>
    <x v="2"/>
    <x v="5"/>
    <x v="1"/>
    <x v="1"/>
    <s v="11.08.17"/>
    <x v="1"/>
    <x v="9"/>
    <x v="1"/>
    <s v="never"/>
    <n v="1"/>
    <s v="nie"/>
    <x v="4"/>
    <x v="3"/>
    <m/>
    <n v="0"/>
    <n v="1"/>
    <n v="0"/>
    <n v="0"/>
    <n v="0"/>
    <n v="0"/>
    <n v="0"/>
    <n v="0"/>
    <s v="WJ"/>
  </r>
  <r>
    <n v="129"/>
    <x v="4"/>
    <x v="1"/>
    <x v="2"/>
    <x v="1"/>
    <n v="32"/>
    <x v="1"/>
    <x v="2"/>
    <x v="4"/>
    <x v="2"/>
    <x v="1"/>
    <s v="11.08.17"/>
    <x v="1"/>
    <x v="9"/>
    <x v="1"/>
    <s v="never"/>
    <n v="1"/>
    <s v="nie"/>
    <x v="4"/>
    <x v="3"/>
    <m/>
    <n v="0"/>
    <n v="1"/>
    <n v="0"/>
    <n v="0"/>
    <n v="0"/>
    <n v="0"/>
    <n v="0"/>
    <n v="0"/>
    <s v="WJ"/>
  </r>
  <r>
    <n v="130"/>
    <x v="4"/>
    <x v="1"/>
    <x v="2"/>
    <x v="2"/>
    <n v="39"/>
    <x v="1"/>
    <x v="1"/>
    <x v="1"/>
    <x v="2"/>
    <x v="1"/>
    <s v="11.08.17"/>
    <x v="1"/>
    <x v="9"/>
    <x v="1"/>
    <s v="always"/>
    <n v="5"/>
    <s v="kilka x w mies"/>
    <x v="8"/>
    <x v="3"/>
    <m/>
    <n v="0"/>
    <n v="0"/>
    <n v="0"/>
    <n v="0"/>
    <n v="0"/>
    <n v="1"/>
    <n v="0"/>
    <n v="0"/>
    <s v="WP"/>
  </r>
  <r>
    <n v="131"/>
    <x v="4"/>
    <x v="1"/>
    <x v="2"/>
    <x v="1"/>
    <n v="66"/>
    <x v="1"/>
    <x v="1"/>
    <x v="1"/>
    <x v="2"/>
    <x v="3"/>
    <s v="11.08.17"/>
    <x v="1"/>
    <x v="9"/>
    <x v="1"/>
    <s v="rarely"/>
    <n v="2"/>
    <s v="1x w roku"/>
    <x v="6"/>
    <x v="3"/>
    <m/>
    <n v="0"/>
    <n v="0"/>
    <n v="0"/>
    <n v="0"/>
    <n v="0"/>
    <n v="0"/>
    <n v="0"/>
    <n v="1"/>
    <s v="ładniejsze liczby"/>
  </r>
  <r>
    <n v="132"/>
    <x v="4"/>
    <x v="1"/>
    <x v="2"/>
    <x v="2"/>
    <n v="66"/>
    <x v="1"/>
    <x v="1"/>
    <x v="1"/>
    <x v="2"/>
    <x v="3"/>
    <s v="11.08.17"/>
    <x v="1"/>
    <x v="9"/>
    <x v="1"/>
    <s v="never"/>
    <n v="1"/>
    <s v="nie"/>
    <x v="5"/>
    <x v="3"/>
    <m/>
    <n v="0"/>
    <n v="0"/>
    <n v="1"/>
    <n v="0"/>
    <n v="0"/>
    <n v="0"/>
    <n v="0"/>
    <n v="0"/>
    <s v="data imienin"/>
  </r>
  <r>
    <n v="133"/>
    <x v="4"/>
    <x v="1"/>
    <x v="2"/>
    <x v="1"/>
    <n v="35"/>
    <x v="1"/>
    <x v="2"/>
    <x v="4"/>
    <x v="2"/>
    <x v="1"/>
    <s v="11.08.17"/>
    <x v="1"/>
    <x v="9"/>
    <x v="1"/>
    <s v="occasionally"/>
    <n v="3"/>
    <s v="kilka x w roku"/>
    <x v="4"/>
    <x v="3"/>
    <m/>
    <n v="0"/>
    <n v="1"/>
    <n v="0"/>
    <n v="0"/>
    <n v="0"/>
    <n v="0"/>
    <n v="0"/>
    <n v="0"/>
    <s v="WJ"/>
  </r>
  <r>
    <n v="134"/>
    <x v="2"/>
    <x v="1"/>
    <x v="2"/>
    <x v="2"/>
    <n v="49"/>
    <x v="1"/>
    <x v="1"/>
    <x v="1"/>
    <x v="2"/>
    <x v="4"/>
    <s v="11.08.17"/>
    <x v="1"/>
    <x v="9"/>
    <x v="1"/>
    <s v="occasionally"/>
    <n v="3"/>
    <s v="czasami"/>
    <x v="5"/>
    <x v="3"/>
    <s v="U64,44,15,06"/>
    <n v="0"/>
    <n v="0"/>
    <n v="1"/>
    <n v="0"/>
    <n v="0"/>
    <n v="0"/>
    <n v="0"/>
    <n v="0"/>
    <s v="R bo były charakterystyczne jej liczby U64, 44, 15, 06"/>
  </r>
  <r>
    <n v="135"/>
    <x v="2"/>
    <x v="1"/>
    <x v="2"/>
    <x v="2"/>
    <n v="39"/>
    <x v="1"/>
    <x v="1"/>
    <x v="1"/>
    <x v="2"/>
    <x v="3"/>
    <s v="11.08.17"/>
    <x v="1"/>
    <x v="9"/>
    <x v="1"/>
    <s v="occasionally"/>
    <n v="3"/>
    <s v="kilka x w roku"/>
    <x v="6"/>
    <x v="3"/>
    <m/>
    <n v="0"/>
    <n v="0"/>
    <n v="0"/>
    <n v="0"/>
    <n v="0"/>
    <n v="0"/>
    <n v="0"/>
    <n v="1"/>
    <s v="R bo nie lubi 7emek"/>
  </r>
  <r>
    <n v="136"/>
    <x v="2"/>
    <x v="1"/>
    <x v="2"/>
    <x v="1"/>
    <n v="40"/>
    <x v="5"/>
    <x v="1"/>
    <x v="6"/>
    <x v="2"/>
    <x v="1"/>
    <s v="11.08.17"/>
    <x v="1"/>
    <x v="9"/>
    <x v="1"/>
    <s v="rarely"/>
    <n v="2"/>
    <s v="1x w roku"/>
    <x v="6"/>
    <x v="5"/>
    <s v="U7"/>
    <n v="0"/>
    <n v="0"/>
    <n v="1"/>
    <n v="0"/>
    <n v="0"/>
    <n v="0"/>
    <n v="0"/>
    <n v="1"/>
    <s v="bo lubi 7emki"/>
  </r>
  <r>
    <n v="137"/>
    <x v="2"/>
    <x v="1"/>
    <x v="2"/>
    <x v="2"/>
    <n v="40"/>
    <x v="5"/>
    <x v="1"/>
    <x v="6"/>
    <x v="2"/>
    <x v="3"/>
    <s v="11.08.17"/>
    <x v="1"/>
    <x v="9"/>
    <x v="1"/>
    <s v="occasionally"/>
    <n v="3"/>
    <s v="kilka x w roku"/>
    <x v="5"/>
    <x v="3"/>
    <s v="U77"/>
    <n v="0"/>
    <n v="0"/>
    <n v="1"/>
    <n v="0"/>
    <n v="0"/>
    <n v="0"/>
    <n v="0"/>
    <n v="0"/>
    <s v="data urodzin 77"/>
  </r>
  <r>
    <n v="138"/>
    <x v="1"/>
    <x v="2"/>
    <x v="1"/>
    <x v="2"/>
    <n v="22"/>
    <x v="7"/>
    <x v="1"/>
    <x v="3"/>
    <x v="2"/>
    <x v="3"/>
    <s v="11.08.17"/>
    <x v="1"/>
    <x v="9"/>
    <x v="1"/>
    <s v="never"/>
    <n v="1"/>
    <s v="nie"/>
    <x v="6"/>
    <x v="3"/>
    <m/>
    <n v="0"/>
    <n v="0"/>
    <n v="0"/>
    <n v="0"/>
    <n v="0"/>
    <n v="0"/>
    <n v="0"/>
    <n v="1"/>
    <s v="ładne po kolei liczby"/>
  </r>
  <r>
    <n v="139"/>
    <x v="1"/>
    <x v="2"/>
    <x v="1"/>
    <x v="1"/>
    <n v="28"/>
    <x v="1"/>
    <x v="1"/>
    <x v="1"/>
    <x v="2"/>
    <x v="1"/>
    <s v="11.08.17"/>
    <x v="1"/>
    <x v="9"/>
    <x v="1"/>
    <s v="never"/>
    <n v="1"/>
    <s v="nie"/>
    <x v="1"/>
    <x v="6"/>
    <s v="U0"/>
    <n v="1"/>
    <n v="0"/>
    <n v="0"/>
    <n v="0"/>
    <n v="0"/>
    <n v="0"/>
    <n v="0"/>
    <n v="1"/>
    <s v="BL i dużo 0 a lubi 0"/>
  </r>
  <r>
    <n v="140"/>
    <x v="1"/>
    <x v="2"/>
    <x v="1"/>
    <x v="1"/>
    <n v="30"/>
    <x v="1"/>
    <x v="1"/>
    <x v="1"/>
    <x v="2"/>
    <x v="1"/>
    <s v="11.08.17"/>
    <x v="1"/>
    <x v="9"/>
    <x v="1"/>
    <s v="occasionally"/>
    <n v="3"/>
    <s v="kilka x w roku"/>
    <x v="1"/>
    <x v="3"/>
    <m/>
    <n v="1"/>
    <n v="0"/>
    <n v="0"/>
    <n v="0"/>
    <n v="0"/>
    <n v="0"/>
    <n v="0"/>
    <n v="0"/>
    <s v="BL"/>
  </r>
  <r>
    <n v="141"/>
    <x v="1"/>
    <x v="2"/>
    <x v="1"/>
    <x v="2"/>
    <n v="23"/>
    <x v="1"/>
    <x v="1"/>
    <x v="1"/>
    <x v="2"/>
    <x v="1"/>
    <s v="11.08.17"/>
    <x v="1"/>
    <x v="9"/>
    <x v="1"/>
    <s v="occasionally"/>
    <n v="3"/>
    <s v="kilka x w roku"/>
    <x v="1"/>
    <x v="3"/>
    <m/>
    <n v="1"/>
    <n v="0"/>
    <n v="0"/>
    <n v="0"/>
    <n v="0"/>
    <n v="0"/>
    <n v="0"/>
    <n v="0"/>
    <s v="BL"/>
  </r>
  <r>
    <n v="142"/>
    <x v="1"/>
    <x v="2"/>
    <x v="1"/>
    <x v="2"/>
    <n v="20"/>
    <x v="1"/>
    <x v="1"/>
    <x v="1"/>
    <x v="2"/>
    <x v="4"/>
    <s v="11.08.17"/>
    <x v="1"/>
    <x v="9"/>
    <x v="1"/>
    <s v="rarely"/>
    <n v="2"/>
    <s v="3x w życiu"/>
    <x v="1"/>
    <x v="3"/>
    <m/>
    <n v="1"/>
    <n v="0"/>
    <n v="0"/>
    <n v="0"/>
    <n v="0"/>
    <n v="0"/>
    <n v="0"/>
    <n v="0"/>
    <s v="BL"/>
  </r>
  <r>
    <n v="143"/>
    <x v="1"/>
    <x v="2"/>
    <x v="1"/>
    <x v="2"/>
    <n v="62"/>
    <x v="1"/>
    <x v="1"/>
    <x v="1"/>
    <x v="2"/>
    <x v="1"/>
    <s v="11.08.17"/>
    <x v="1"/>
    <x v="9"/>
    <x v="1"/>
    <s v="always"/>
    <n v="5"/>
    <s v="kilka x w mies"/>
    <x v="4"/>
    <x v="3"/>
    <m/>
    <n v="0"/>
    <n v="1"/>
    <n v="0"/>
    <n v="0"/>
    <n v="0"/>
    <n v="0"/>
    <n v="0"/>
    <n v="0"/>
    <s v="WJ"/>
  </r>
  <r>
    <n v="144"/>
    <x v="1"/>
    <x v="2"/>
    <x v="1"/>
    <x v="2"/>
    <n v="62"/>
    <x v="1"/>
    <x v="1"/>
    <x v="1"/>
    <x v="2"/>
    <x v="3"/>
    <s v="11.08.17"/>
    <x v="1"/>
    <x v="9"/>
    <x v="1"/>
    <s v="always"/>
    <n v="5"/>
    <s v="4x w mies"/>
    <x v="1"/>
    <x v="3"/>
    <m/>
    <n v="1"/>
    <n v="0"/>
    <n v="0"/>
    <n v="0"/>
    <n v="0"/>
    <n v="0"/>
    <n v="0"/>
    <n v="0"/>
    <s v="BL"/>
  </r>
  <r>
    <n v="145"/>
    <x v="1"/>
    <x v="2"/>
    <x v="1"/>
    <x v="1"/>
    <n v="28"/>
    <x v="1"/>
    <x v="1"/>
    <x v="1"/>
    <x v="2"/>
    <x v="1"/>
    <s v="11.08.17"/>
    <x v="1"/>
    <x v="9"/>
    <x v="1"/>
    <s v="occasionally"/>
    <n v="3"/>
    <s v="kilka x w roku"/>
    <x v="8"/>
    <x v="3"/>
    <m/>
    <n v="0"/>
    <n v="0"/>
    <n v="0"/>
    <n v="0"/>
    <n v="0"/>
    <n v="1"/>
    <n v="0"/>
    <n v="0"/>
    <s v="WP"/>
  </r>
  <r>
    <n v="146"/>
    <x v="1"/>
    <x v="2"/>
    <x v="1"/>
    <x v="2"/>
    <n v="61"/>
    <x v="7"/>
    <x v="1"/>
    <x v="3"/>
    <x v="2"/>
    <x v="3"/>
    <s v="11.08.17"/>
    <x v="1"/>
    <x v="9"/>
    <x v="1"/>
    <s v="never"/>
    <n v="1"/>
    <s v="nie"/>
    <x v="6"/>
    <x v="3"/>
    <m/>
    <n v="0"/>
    <n v="0"/>
    <n v="0"/>
    <n v="0"/>
    <n v="0"/>
    <n v="0"/>
    <n v="0"/>
    <n v="1"/>
    <s v="bo lubi małe liczby"/>
  </r>
  <r>
    <n v="147"/>
    <x v="3"/>
    <x v="2"/>
    <x v="2"/>
    <x v="2"/>
    <n v="39"/>
    <x v="1"/>
    <x v="1"/>
    <x v="1"/>
    <x v="2"/>
    <x v="3"/>
    <s v="17.08.17"/>
    <x v="1"/>
    <x v="9"/>
    <x v="1"/>
    <s v="always"/>
    <n v="5"/>
    <s v="kilka x w mies"/>
    <x v="5"/>
    <x v="3"/>
    <s v="U11"/>
    <n v="0"/>
    <n v="0"/>
    <n v="1"/>
    <n v="0"/>
    <n v="0"/>
    <n v="0"/>
    <n v="0"/>
    <n v="0"/>
    <s v="lubi 11 a było w R"/>
  </r>
  <r>
    <n v="148"/>
    <x v="3"/>
    <x v="2"/>
    <x v="2"/>
    <x v="2"/>
    <n v="25"/>
    <x v="1"/>
    <x v="1"/>
    <x v="1"/>
    <x v="2"/>
    <x v="4"/>
    <s v="17.08.17"/>
    <x v="1"/>
    <x v="9"/>
    <x v="1"/>
    <s v="regularly"/>
    <n v="4"/>
    <s v="1x w mies"/>
    <x v="5"/>
    <x v="3"/>
    <s v="U24"/>
    <n v="0"/>
    <n v="0"/>
    <n v="1"/>
    <n v="0"/>
    <n v="0"/>
    <n v="0"/>
    <n v="0"/>
    <n v="0"/>
    <s v="ulubiona 24 była w R"/>
  </r>
  <r>
    <n v="149"/>
    <x v="3"/>
    <x v="2"/>
    <x v="2"/>
    <x v="2"/>
    <n v="61"/>
    <x v="1"/>
    <x v="1"/>
    <x v="1"/>
    <x v="2"/>
    <x v="4"/>
    <s v="17.08.17"/>
    <x v="1"/>
    <x v="9"/>
    <x v="1"/>
    <s v="regularly"/>
    <n v="4"/>
    <s v="1x w mies"/>
    <x v="5"/>
    <x v="3"/>
    <s v="U9,42,45"/>
    <n v="0"/>
    <n v="0"/>
    <n v="1"/>
    <n v="0"/>
    <n v="0"/>
    <n v="0"/>
    <n v="0"/>
    <n v="0"/>
    <s v="ulubione 9, 42, 45 były w R"/>
  </r>
  <r>
    <n v="150"/>
    <x v="3"/>
    <x v="1"/>
    <x v="2"/>
    <x v="2"/>
    <n v="40"/>
    <x v="6"/>
    <x v="1"/>
    <x v="2"/>
    <x v="2"/>
    <x v="3"/>
    <s v="17.08.17"/>
    <x v="1"/>
    <x v="9"/>
    <x v="1"/>
    <s v="never"/>
    <n v="1"/>
    <s v="nie"/>
    <x v="5"/>
    <x v="6"/>
    <s v="U5,15,35"/>
    <n v="0"/>
    <n v="0"/>
    <n v="1"/>
    <n v="0"/>
    <n v="0"/>
    <n v="0"/>
    <n v="0"/>
    <n v="1"/>
    <s v="ulubione 5, 15, 35 były w L5 oraz LS"/>
  </r>
  <r>
    <n v="151"/>
    <x v="3"/>
    <x v="1"/>
    <x v="2"/>
    <x v="1"/>
    <n v="49"/>
    <x v="1"/>
    <x v="1"/>
    <x v="1"/>
    <x v="2"/>
    <x v="3"/>
    <s v="17.08.17"/>
    <x v="1"/>
    <x v="9"/>
    <x v="1"/>
    <s v="occasionally"/>
    <n v="3"/>
    <s v="kilka x w roku"/>
    <x v="1"/>
    <x v="3"/>
    <m/>
    <n v="1"/>
    <n v="0"/>
    <n v="0"/>
    <n v="0"/>
    <n v="0"/>
    <n v="0"/>
    <n v="0"/>
    <n v="0"/>
    <s v="BL"/>
  </r>
  <r>
    <n v="152"/>
    <x v="3"/>
    <x v="1"/>
    <x v="2"/>
    <x v="1"/>
    <n v="57"/>
    <x v="1"/>
    <x v="1"/>
    <x v="1"/>
    <x v="2"/>
    <x v="2"/>
    <s v="17.08.17"/>
    <x v="1"/>
    <x v="9"/>
    <x v="1"/>
    <s v="rarely"/>
    <n v="2"/>
    <s v="2x w roku"/>
    <x v="3"/>
    <x v="3"/>
    <m/>
    <n v="0"/>
    <n v="0"/>
    <n v="0"/>
    <n v="1"/>
    <n v="0"/>
    <n v="0"/>
    <n v="0"/>
    <n v="0"/>
    <s v="R bo pierwsze z lewej było a jej obojtene"/>
  </r>
  <r>
    <n v="153"/>
    <x v="3"/>
    <x v="2"/>
    <x v="1"/>
    <x v="2"/>
    <n v="65"/>
    <x v="6"/>
    <x v="1"/>
    <x v="2"/>
    <x v="1"/>
    <x v="3"/>
    <s v="17.08.17"/>
    <x v="1"/>
    <x v="9"/>
    <x v="1"/>
    <s v="never"/>
    <n v="1"/>
    <s v="nie"/>
    <x v="6"/>
    <x v="3"/>
    <m/>
    <n v="0"/>
    <n v="0"/>
    <n v="0"/>
    <n v="0"/>
    <n v="0"/>
    <n v="0"/>
    <n v="0"/>
    <n v="1"/>
    <s v="LS bo parzystych dużo"/>
  </r>
  <r>
    <n v="154"/>
    <x v="6"/>
    <x v="2"/>
    <x v="1"/>
    <x v="2"/>
    <n v="58"/>
    <x v="3"/>
    <x v="1"/>
    <x v="5"/>
    <x v="2"/>
    <x v="3"/>
    <s v="17.08.17"/>
    <x v="1"/>
    <x v="9"/>
    <x v="1"/>
    <s v="occasionally"/>
    <n v="3"/>
    <s v="kilka x w roku"/>
    <x v="3"/>
    <x v="3"/>
    <m/>
    <n v="0"/>
    <n v="0"/>
    <n v="0"/>
    <n v="1"/>
    <n v="0"/>
    <n v="0"/>
    <n v="0"/>
    <n v="0"/>
    <s v="M5 bo pierwsze z lewej było a jej obojętne ale 50gr nie warte zmiany"/>
  </r>
  <r>
    <n v="155"/>
    <x v="6"/>
    <x v="2"/>
    <x v="1"/>
    <x v="2"/>
    <n v="40"/>
    <x v="3"/>
    <x v="1"/>
    <x v="5"/>
    <x v="2"/>
    <x v="3"/>
    <s v="17.08.17"/>
    <x v="1"/>
    <x v="9"/>
    <x v="1"/>
    <s v="regularly"/>
    <n v="4"/>
    <s v="1x w mies"/>
    <x v="5"/>
    <x v="3"/>
    <s v="U60,80"/>
    <n v="0"/>
    <n v="0"/>
    <n v="1"/>
    <n v="0"/>
    <n v="0"/>
    <n v="0"/>
    <n v="0"/>
    <n v="0"/>
    <s v="M5 bo ulubione 60, 80"/>
  </r>
  <r>
    <n v="156"/>
    <x v="3"/>
    <x v="1"/>
    <x v="1"/>
    <x v="2"/>
    <n v="45"/>
    <x v="6"/>
    <x v="1"/>
    <x v="2"/>
    <x v="2"/>
    <x v="4"/>
    <s v="17.08.17"/>
    <x v="1"/>
    <x v="9"/>
    <x v="1"/>
    <s v="never"/>
    <n v="1"/>
    <s v="nie"/>
    <x v="6"/>
    <x v="5"/>
    <s v="U5"/>
    <n v="0"/>
    <n v="0"/>
    <n v="1"/>
    <n v="0"/>
    <n v="0"/>
    <n v="0"/>
    <n v="0"/>
    <n v="1"/>
    <s v="LS, L5 bo lubi 5"/>
  </r>
  <r>
    <n v="157"/>
    <x v="6"/>
    <x v="2"/>
    <x v="1"/>
    <x v="2"/>
    <n v="71"/>
    <x v="1"/>
    <x v="1"/>
    <x v="1"/>
    <x v="1"/>
    <x v="2"/>
    <s v="17.08.17"/>
    <x v="1"/>
    <x v="9"/>
    <x v="1"/>
    <s v="always"/>
    <n v="5"/>
    <s v="1x w tygodniu"/>
    <x v="5"/>
    <x v="3"/>
    <s v="U23"/>
    <n v="0"/>
    <n v="0"/>
    <n v="1"/>
    <n v="0"/>
    <n v="0"/>
    <n v="0"/>
    <n v="0"/>
    <n v="0"/>
    <s v="u23 więc R"/>
  </r>
  <r>
    <n v="158"/>
    <x v="6"/>
    <x v="2"/>
    <x v="2"/>
    <x v="2"/>
    <n v="60"/>
    <x v="1"/>
    <x v="1"/>
    <x v="1"/>
    <x v="2"/>
    <x v="2"/>
    <s v="17.08.17"/>
    <x v="1"/>
    <x v="9"/>
    <x v="1"/>
    <s v="never"/>
    <n v="1"/>
    <s v="nie"/>
    <x v="1"/>
    <x v="3"/>
    <m/>
    <n v="1"/>
    <n v="0"/>
    <n v="0"/>
    <n v="0"/>
    <n v="0"/>
    <n v="0"/>
    <n v="0"/>
    <n v="0"/>
    <s v="BL"/>
  </r>
  <r>
    <n v="159"/>
    <x v="6"/>
    <x v="2"/>
    <x v="2"/>
    <x v="2"/>
    <n v="20"/>
    <x v="1"/>
    <x v="1"/>
    <x v="1"/>
    <x v="2"/>
    <x v="3"/>
    <s v="17.08.17"/>
    <x v="1"/>
    <x v="9"/>
    <x v="1"/>
    <s v="rarely"/>
    <n v="2"/>
    <s v="1x w roku, zdrapki"/>
    <x v="1"/>
    <x v="3"/>
    <m/>
    <n v="1"/>
    <n v="0"/>
    <n v="0"/>
    <n v="0"/>
    <n v="0"/>
    <n v="0"/>
    <n v="0"/>
    <n v="0"/>
    <s v="BL"/>
  </r>
  <r>
    <n v="160"/>
    <x v="6"/>
    <x v="1"/>
    <x v="2"/>
    <x v="2"/>
    <n v="26"/>
    <x v="1"/>
    <x v="1"/>
    <x v="1"/>
    <x v="2"/>
    <x v="1"/>
    <s v="17.08.17"/>
    <x v="1"/>
    <x v="9"/>
    <x v="1"/>
    <s v="never"/>
    <n v="1"/>
    <s v="nie"/>
    <x v="1"/>
    <x v="3"/>
    <m/>
    <n v="1"/>
    <n v="0"/>
    <n v="0"/>
    <n v="0"/>
    <n v="0"/>
    <n v="0"/>
    <n v="0"/>
    <n v="0"/>
    <s v="BL"/>
  </r>
  <r>
    <n v="161"/>
    <x v="6"/>
    <x v="1"/>
    <x v="2"/>
    <x v="2"/>
    <n v="24"/>
    <x v="1"/>
    <x v="1"/>
    <x v="1"/>
    <x v="2"/>
    <x v="1"/>
    <s v="17.08.17"/>
    <x v="1"/>
    <x v="9"/>
    <x v="1"/>
    <s v="never"/>
    <n v="1"/>
    <s v="nie"/>
    <x v="1"/>
    <x v="5"/>
    <s v="U7"/>
    <n v="1"/>
    <n v="0"/>
    <n v="1"/>
    <n v="0"/>
    <n v="0"/>
    <n v="0"/>
    <n v="0"/>
    <n v="0"/>
    <s v="BL oraz U7"/>
  </r>
  <r>
    <n v="162"/>
    <x v="6"/>
    <x v="1"/>
    <x v="2"/>
    <x v="2"/>
    <n v="56"/>
    <x v="3"/>
    <x v="1"/>
    <x v="5"/>
    <x v="2"/>
    <x v="3"/>
    <s v="17.08.17"/>
    <x v="1"/>
    <x v="9"/>
    <x v="1"/>
    <s v="always"/>
    <n v="5"/>
    <s v="kilka x w tyg"/>
    <x v="6"/>
    <x v="3"/>
    <m/>
    <n v="0"/>
    <n v="0"/>
    <n v="0"/>
    <n v="0"/>
    <n v="0"/>
    <n v="0"/>
    <n v="0"/>
    <n v="1"/>
    <s v="LS"/>
  </r>
  <r>
    <n v="163"/>
    <x v="3"/>
    <x v="1"/>
    <x v="1"/>
    <x v="2"/>
    <n v="82"/>
    <x v="1"/>
    <x v="1"/>
    <x v="1"/>
    <x v="2"/>
    <x v="3"/>
    <s v="17.08.17"/>
    <x v="1"/>
    <x v="9"/>
    <x v="1"/>
    <s v="always"/>
    <n v="5"/>
    <s v="codziennie"/>
    <x v="5"/>
    <x v="3"/>
    <s v="U9,39,55,56"/>
    <n v="0"/>
    <n v="0"/>
    <n v="1"/>
    <n v="0"/>
    <n v="0"/>
    <n v="0"/>
    <n v="0"/>
    <n v="0"/>
    <s v="U9, 39, 55, 56"/>
  </r>
  <r>
    <n v="164"/>
    <x v="3"/>
    <x v="1"/>
    <x v="1"/>
    <x v="2"/>
    <n v="64"/>
    <x v="6"/>
    <x v="1"/>
    <x v="2"/>
    <x v="2"/>
    <x v="3"/>
    <s v="17.08.17"/>
    <x v="1"/>
    <x v="9"/>
    <x v="1"/>
    <s v="never"/>
    <n v="1"/>
    <s v="nie"/>
    <x v="6"/>
    <x v="3"/>
    <m/>
    <n v="0"/>
    <n v="0"/>
    <n v="0"/>
    <n v="0"/>
    <n v="0"/>
    <n v="0"/>
    <n v="0"/>
    <n v="1"/>
    <s v="LS"/>
  </r>
  <r>
    <n v="165"/>
    <x v="5"/>
    <x v="1"/>
    <x v="1"/>
    <x v="2"/>
    <n v="50"/>
    <x v="2"/>
    <x v="2"/>
    <x v="1"/>
    <x v="2"/>
    <x v="1"/>
    <s v="17.08.17"/>
    <x v="1"/>
    <x v="9"/>
    <x v="1"/>
    <s v="occasionally"/>
    <n v="3"/>
    <s v="kilka x w roku"/>
    <x v="6"/>
    <x v="3"/>
    <m/>
    <n v="0"/>
    <n v="0"/>
    <n v="0"/>
    <n v="0"/>
    <n v="0"/>
    <n v="0"/>
    <n v="0"/>
    <n v="1"/>
    <s v="bo LS ale za 50gr wzieła R"/>
  </r>
  <r>
    <n v="166"/>
    <x v="5"/>
    <x v="1"/>
    <x v="1"/>
    <x v="2"/>
    <n v="42"/>
    <x v="1"/>
    <x v="1"/>
    <x v="1"/>
    <x v="2"/>
    <x v="3"/>
    <s v="17.08.17"/>
    <x v="1"/>
    <x v="9"/>
    <x v="1"/>
    <s v="regularly"/>
    <n v="4"/>
    <s v="2x w miesiącu"/>
    <x v="3"/>
    <x v="3"/>
    <m/>
    <n v="0"/>
    <n v="0"/>
    <n v="0"/>
    <n v="1"/>
    <n v="0"/>
    <n v="0"/>
    <n v="0"/>
    <n v="0"/>
    <s v="R bo intuicja"/>
  </r>
  <r>
    <n v="167"/>
    <x v="5"/>
    <x v="1"/>
    <x v="1"/>
    <x v="2"/>
    <n v="77"/>
    <x v="2"/>
    <x v="1"/>
    <x v="7"/>
    <x v="2"/>
    <x v="2"/>
    <s v="17.08.17"/>
    <x v="1"/>
    <x v="9"/>
    <x v="1"/>
    <s v="never"/>
    <n v="1"/>
    <s v="nie"/>
    <x v="6"/>
    <x v="3"/>
    <m/>
    <n v="0"/>
    <n v="0"/>
    <n v="0"/>
    <n v="0"/>
    <n v="0"/>
    <n v="0"/>
    <n v="0"/>
    <n v="1"/>
    <s v="H5 bo lubi duże liczby"/>
  </r>
  <r>
    <n v="168"/>
    <x v="2"/>
    <x v="2"/>
    <x v="2"/>
    <x v="1"/>
    <n v="21"/>
    <x v="1"/>
    <x v="1"/>
    <x v="1"/>
    <x v="2"/>
    <x v="1"/>
    <s v="17.08.17"/>
    <x v="2"/>
    <x v="7"/>
    <x v="1"/>
    <s v="always"/>
    <n v="5"/>
    <s v="kilka x w tyg"/>
    <x v="1"/>
    <x v="3"/>
    <m/>
    <n v="1"/>
    <n v="0"/>
    <n v="0"/>
    <n v="0"/>
    <n v="0"/>
    <n v="0"/>
    <n v="0"/>
    <n v="0"/>
    <s v="BL"/>
  </r>
  <r>
    <n v="169"/>
    <x v="2"/>
    <x v="2"/>
    <x v="2"/>
    <x v="1"/>
    <n v="20"/>
    <x v="1"/>
    <x v="1"/>
    <x v="1"/>
    <x v="1"/>
    <x v="4"/>
    <s v="17.08.17"/>
    <x v="2"/>
    <x v="7"/>
    <x v="1"/>
    <s v="occasionally"/>
    <n v="3"/>
    <s v="kilka x w roku"/>
    <x v="1"/>
    <x v="3"/>
    <m/>
    <n v="1"/>
    <n v="0"/>
    <n v="0"/>
    <n v="0"/>
    <n v="0"/>
    <n v="0"/>
    <n v="0"/>
    <n v="0"/>
    <s v="BL"/>
  </r>
  <r>
    <n v="170"/>
    <x v="2"/>
    <x v="2"/>
    <x v="1"/>
    <x v="1"/>
    <n v="20"/>
    <x v="1"/>
    <x v="1"/>
    <x v="1"/>
    <x v="2"/>
    <x v="1"/>
    <s v="17.08.17"/>
    <x v="2"/>
    <x v="7"/>
    <x v="1"/>
    <s v="never"/>
    <n v="1"/>
    <s v="nie"/>
    <x v="1"/>
    <x v="1"/>
    <m/>
    <n v="1"/>
    <n v="0"/>
    <n v="0"/>
    <n v="0"/>
    <n v="1"/>
    <n v="0"/>
    <n v="0"/>
    <n v="0"/>
    <s v="BL, TP"/>
  </r>
  <r>
    <n v="171"/>
    <x v="2"/>
    <x v="2"/>
    <x v="1"/>
    <x v="1"/>
    <n v="25"/>
    <x v="5"/>
    <x v="1"/>
    <x v="6"/>
    <x v="1"/>
    <x v="3"/>
    <s v="17.08.17"/>
    <x v="2"/>
    <x v="7"/>
    <x v="1"/>
    <s v="always"/>
    <n v="5"/>
    <s v="codziennie"/>
    <x v="9"/>
    <x v="3"/>
    <m/>
    <n v="0"/>
    <n v="0"/>
    <n v="0"/>
    <n v="0"/>
    <n v="0"/>
    <n v="0"/>
    <n v="0"/>
    <n v="0"/>
    <s v="H1 bo w lotto są liczby obok siebie z rzędu jak padają wygrane"/>
  </r>
  <r>
    <n v="172"/>
    <x v="2"/>
    <x v="1"/>
    <x v="1"/>
    <x v="1"/>
    <n v="18"/>
    <x v="5"/>
    <x v="1"/>
    <x v="6"/>
    <x v="2"/>
    <x v="1"/>
    <s v="17.08.17"/>
    <x v="2"/>
    <x v="7"/>
    <x v="1"/>
    <s v="never"/>
    <n v="1"/>
    <s v="nie"/>
    <x v="6"/>
    <x v="5"/>
    <s v="U7"/>
    <n v="0"/>
    <n v="0"/>
    <n v="1"/>
    <n v="0"/>
    <n v="0"/>
    <n v="0"/>
    <n v="0"/>
    <n v="1"/>
    <s v="H1 bo lubi 7emki"/>
  </r>
  <r>
    <n v="173"/>
    <x v="6"/>
    <x v="2"/>
    <x v="2"/>
    <x v="1"/>
    <n v="48"/>
    <x v="1"/>
    <x v="1"/>
    <x v="1"/>
    <x v="2"/>
    <x v="3"/>
    <s v="17.08.17"/>
    <x v="2"/>
    <x v="7"/>
    <x v="1"/>
    <s v="never"/>
    <n v="1"/>
    <s v="nie"/>
    <x v="3"/>
    <x v="3"/>
    <m/>
    <n v="0"/>
    <n v="0"/>
    <n v="0"/>
    <n v="1"/>
    <n v="0"/>
    <n v="0"/>
    <n v="0"/>
    <n v="0"/>
    <s v="odruchowo bo z prawej"/>
  </r>
  <r>
    <n v="174"/>
    <x v="6"/>
    <x v="2"/>
    <x v="1"/>
    <x v="2"/>
    <n v="65"/>
    <x v="1"/>
    <x v="1"/>
    <x v="1"/>
    <x v="2"/>
    <x v="4"/>
    <s v="17.08.17"/>
    <x v="2"/>
    <x v="7"/>
    <x v="1"/>
    <s v="occasionally"/>
    <n v="3"/>
    <s v="kilka x w roku"/>
    <x v="3"/>
    <x v="5"/>
    <s v="U1"/>
    <n v="0"/>
    <n v="0"/>
    <n v="1"/>
    <n v="1"/>
    <n v="0"/>
    <n v="0"/>
    <n v="0"/>
    <n v="0"/>
    <s v="U1 i bo z prawej odruchowo"/>
  </r>
  <r>
    <n v="175"/>
    <x v="6"/>
    <x v="2"/>
    <x v="1"/>
    <x v="2"/>
    <n v="24"/>
    <x v="3"/>
    <x v="1"/>
    <x v="5"/>
    <x v="1"/>
    <x v="4"/>
    <s v="17.08.17"/>
    <x v="2"/>
    <x v="7"/>
    <x v="1"/>
    <s v="rarely"/>
    <n v="2"/>
    <s v="1x w roku"/>
    <x v="6"/>
    <x v="2"/>
    <m/>
    <n v="0"/>
    <n v="0"/>
    <n v="0"/>
    <n v="0"/>
    <n v="0"/>
    <n v="0"/>
    <n v="1"/>
    <n v="1"/>
    <s v="M5 bo LS i większe rozrzucenie liczb"/>
  </r>
  <r>
    <n v="176"/>
    <x v="6"/>
    <x v="1"/>
    <x v="1"/>
    <x v="1"/>
    <n v="21"/>
    <x v="3"/>
    <x v="1"/>
    <x v="5"/>
    <x v="2"/>
    <x v="1"/>
    <s v="17.08.17"/>
    <x v="2"/>
    <x v="7"/>
    <x v="1"/>
    <s v="never"/>
    <n v="1"/>
    <s v="nie"/>
    <x v="6"/>
    <x v="3"/>
    <m/>
    <n v="0"/>
    <n v="0"/>
    <n v="0"/>
    <n v="0"/>
    <n v="0"/>
    <n v="0"/>
    <n v="0"/>
    <n v="1"/>
    <s v="M5 bo LS"/>
  </r>
  <r>
    <n v="177"/>
    <x v="1"/>
    <x v="2"/>
    <x v="2"/>
    <x v="1"/>
    <n v="22"/>
    <x v="1"/>
    <x v="1"/>
    <x v="1"/>
    <x v="2"/>
    <x v="1"/>
    <s v="17.08.17"/>
    <x v="2"/>
    <x v="7"/>
    <x v="1"/>
    <s v="never"/>
    <n v="1"/>
    <s v="nie"/>
    <x v="1"/>
    <x v="3"/>
    <m/>
    <n v="1"/>
    <n v="0"/>
    <n v="0"/>
    <n v="0"/>
    <n v="0"/>
    <n v="0"/>
    <n v="0"/>
    <n v="0"/>
    <s v="BL"/>
  </r>
  <r>
    <n v="178"/>
    <x v="1"/>
    <x v="1"/>
    <x v="1"/>
    <x v="2"/>
    <n v="23"/>
    <x v="1"/>
    <x v="1"/>
    <x v="1"/>
    <x v="2"/>
    <x v="1"/>
    <s v="17.08.17"/>
    <x v="2"/>
    <x v="7"/>
    <x v="1"/>
    <s v="rarely"/>
    <n v="2"/>
    <s v="1x w życiu"/>
    <x v="10"/>
    <x v="4"/>
    <m/>
    <n v="0"/>
    <n v="0"/>
    <n v="0"/>
    <n v="0"/>
    <n v="1"/>
    <n v="1"/>
    <n v="0"/>
    <n v="0"/>
    <s v="niby TP ale jednak R bo WP"/>
  </r>
  <r>
    <n v="179"/>
    <x v="5"/>
    <x v="2"/>
    <x v="2"/>
    <x v="1"/>
    <n v="25"/>
    <x v="1"/>
    <x v="1"/>
    <x v="1"/>
    <x v="2"/>
    <x v="1"/>
    <s v="17.08.17"/>
    <x v="2"/>
    <x v="7"/>
    <x v="1"/>
    <s v="occasionally"/>
    <n v="3"/>
    <s v="kilka x w roku"/>
    <x v="6"/>
    <x v="3"/>
    <m/>
    <n v="0"/>
    <n v="0"/>
    <n v="0"/>
    <n v="0"/>
    <n v="0"/>
    <n v="0"/>
    <n v="0"/>
    <n v="1"/>
    <s v="R bo LS"/>
  </r>
  <r>
    <n v="180"/>
    <x v="5"/>
    <x v="2"/>
    <x v="2"/>
    <x v="2"/>
    <n v="45"/>
    <x v="1"/>
    <x v="2"/>
    <x v="7"/>
    <x v="1"/>
    <x v="3"/>
    <s v="17.08.17"/>
    <x v="2"/>
    <x v="7"/>
    <x v="1"/>
    <s v="occasionally"/>
    <n v="3"/>
    <s v="kilka x w roku"/>
    <x v="6"/>
    <x v="3"/>
    <m/>
    <n v="0"/>
    <n v="0"/>
    <n v="0"/>
    <n v="0"/>
    <n v="0"/>
    <n v="0"/>
    <n v="0"/>
    <n v="1"/>
    <s v="R bo LS ale za 1zł zmienia na H5"/>
  </r>
  <r>
    <n v="181"/>
    <x v="5"/>
    <x v="2"/>
    <x v="1"/>
    <x v="1"/>
    <n v="29"/>
    <x v="1"/>
    <x v="1"/>
    <x v="1"/>
    <x v="2"/>
    <x v="1"/>
    <s v="17.08.17"/>
    <x v="2"/>
    <x v="7"/>
    <x v="1"/>
    <s v="never"/>
    <n v="1"/>
    <s v="nie"/>
    <x v="1"/>
    <x v="3"/>
    <m/>
    <n v="1"/>
    <n v="0"/>
    <n v="0"/>
    <n v="0"/>
    <n v="0"/>
    <n v="0"/>
    <n v="0"/>
    <n v="0"/>
    <s v="R bo były też niskie liczby a nie jak w H5, więc BL"/>
  </r>
  <r>
    <n v="182"/>
    <x v="5"/>
    <x v="2"/>
    <x v="1"/>
    <x v="2"/>
    <n v="52"/>
    <x v="2"/>
    <x v="1"/>
    <x v="7"/>
    <x v="1"/>
    <x v="3"/>
    <s v="17.08.17"/>
    <x v="2"/>
    <x v="7"/>
    <x v="1"/>
    <s v="always"/>
    <n v="5"/>
    <s v="kilka x w mies"/>
    <x v="3"/>
    <x v="6"/>
    <m/>
    <n v="0"/>
    <n v="0"/>
    <n v="0"/>
    <n v="1"/>
    <n v="0"/>
    <n v="0"/>
    <n v="0"/>
    <n v="1"/>
    <s v="H5 bo pierwszy w oko i LS ładne wysokie liczby"/>
  </r>
  <r>
    <n v="183"/>
    <x v="4"/>
    <x v="2"/>
    <x v="1"/>
    <x v="2"/>
    <n v="39"/>
    <x v="4"/>
    <x v="1"/>
    <x v="4"/>
    <x v="2"/>
    <x v="3"/>
    <s v="17.08.17"/>
    <x v="2"/>
    <x v="7"/>
    <x v="1"/>
    <s v="occasionally"/>
    <n v="3"/>
    <s v="kilka x w roku"/>
    <x v="6"/>
    <x v="3"/>
    <m/>
    <n v="0"/>
    <n v="0"/>
    <n v="0"/>
    <n v="0"/>
    <n v="0"/>
    <n v="0"/>
    <n v="0"/>
    <n v="1"/>
    <s v="M1 bo LS duże liczby na końcu"/>
  </r>
  <r>
    <n v="184"/>
    <x v="2"/>
    <x v="2"/>
    <x v="2"/>
    <x v="2"/>
    <n v="23"/>
    <x v="1"/>
    <x v="2"/>
    <x v="6"/>
    <x v="2"/>
    <x v="1"/>
    <s v="18.08.17"/>
    <x v="1"/>
    <x v="6"/>
    <x v="1"/>
    <s v="always"/>
    <n v="5"/>
    <s v="kilka x w mies"/>
    <x v="4"/>
    <x v="3"/>
    <m/>
    <n v="0"/>
    <n v="1"/>
    <n v="0"/>
    <n v="0"/>
    <n v="0"/>
    <n v="0"/>
    <n v="0"/>
    <n v="0"/>
    <s v="R bo WJ ale za 1zł H1"/>
  </r>
  <r>
    <n v="185"/>
    <x v="5"/>
    <x v="2"/>
    <x v="2"/>
    <x v="1"/>
    <n v="32"/>
    <x v="2"/>
    <x v="2"/>
    <x v="1"/>
    <x v="2"/>
    <x v="1"/>
    <s v="18.08.17"/>
    <x v="1"/>
    <x v="6"/>
    <x v="1"/>
    <s v="never"/>
    <n v="1"/>
    <s v="nie"/>
    <x v="6"/>
    <x v="3"/>
    <m/>
    <n v="0"/>
    <n v="0"/>
    <n v="0"/>
    <n v="0"/>
    <n v="0"/>
    <n v="0"/>
    <n v="0"/>
    <n v="1"/>
    <s v="H5 bo LS ale za 1zł R"/>
  </r>
  <r>
    <n v="186"/>
    <x v="5"/>
    <x v="2"/>
    <x v="2"/>
    <x v="2"/>
    <n v="37"/>
    <x v="1"/>
    <x v="1"/>
    <x v="1"/>
    <x v="1"/>
    <x v="4"/>
    <s v="18.08.17"/>
    <x v="1"/>
    <x v="6"/>
    <x v="1"/>
    <s v="never"/>
    <n v="1"/>
    <s v="nie"/>
    <x v="3"/>
    <x v="3"/>
    <m/>
    <n v="0"/>
    <n v="0"/>
    <n v="0"/>
    <n v="1"/>
    <n v="0"/>
    <n v="0"/>
    <n v="0"/>
    <n v="0"/>
    <s v="odruchowo bo z prawej"/>
  </r>
  <r>
    <n v="187"/>
    <x v="5"/>
    <x v="2"/>
    <x v="1"/>
    <x v="1"/>
    <n v="20"/>
    <x v="1"/>
    <x v="1"/>
    <x v="1"/>
    <x v="1"/>
    <x v="1"/>
    <s v="18.08.17"/>
    <x v="1"/>
    <x v="6"/>
    <x v="1"/>
    <s v="never"/>
    <n v="1"/>
    <s v="nie"/>
    <x v="1"/>
    <x v="3"/>
    <m/>
    <n v="1"/>
    <n v="0"/>
    <n v="0"/>
    <n v="0"/>
    <n v="0"/>
    <n v="0"/>
    <n v="0"/>
    <n v="0"/>
    <s v="BL"/>
  </r>
  <r>
    <n v="188"/>
    <x v="1"/>
    <x v="2"/>
    <x v="2"/>
    <x v="2"/>
    <n v="45"/>
    <x v="7"/>
    <x v="1"/>
    <x v="3"/>
    <x v="2"/>
    <x v="4"/>
    <s v="18.08.17"/>
    <x v="1"/>
    <x v="6"/>
    <x v="1"/>
    <s v="occasionally"/>
    <n v="3"/>
    <s v="kilka x w roku"/>
    <x v="5"/>
    <x v="3"/>
    <m/>
    <n v="0"/>
    <n v="0"/>
    <n v="1"/>
    <n v="0"/>
    <n v="0"/>
    <n v="0"/>
    <n v="0"/>
    <n v="0"/>
    <s v="L1 bo ważne daty"/>
  </r>
  <r>
    <n v="189"/>
    <x v="1"/>
    <x v="1"/>
    <x v="1"/>
    <x v="1"/>
    <n v="23"/>
    <x v="1"/>
    <x v="1"/>
    <x v="1"/>
    <x v="2"/>
    <x v="1"/>
    <s v="18.08.17"/>
    <x v="1"/>
    <x v="6"/>
    <x v="1"/>
    <s v="never"/>
    <n v="1"/>
    <s v="nie"/>
    <x v="8"/>
    <x v="3"/>
    <m/>
    <n v="0"/>
    <n v="0"/>
    <n v="0"/>
    <n v="0"/>
    <n v="0"/>
    <n v="1"/>
    <n v="0"/>
    <n v="0"/>
    <s v="WP"/>
  </r>
  <r>
    <n v="190"/>
    <x v="4"/>
    <x v="2"/>
    <x v="2"/>
    <x v="2"/>
    <n v="23"/>
    <x v="1"/>
    <x v="1"/>
    <x v="1"/>
    <x v="2"/>
    <x v="4"/>
    <s v="18.08.17"/>
    <x v="1"/>
    <x v="6"/>
    <x v="1"/>
    <s v="rarely"/>
    <n v="2"/>
    <s v="kilka x w życiu"/>
    <x v="5"/>
    <x v="3"/>
    <s v="U5"/>
    <n v="0"/>
    <n v="0"/>
    <n v="1"/>
    <n v="0"/>
    <n v="0"/>
    <n v="0"/>
    <n v="0"/>
    <n v="0"/>
    <s v="R bo w M! nie lubi 7, a w R lubi 5"/>
  </r>
  <r>
    <n v="191"/>
    <x v="4"/>
    <x v="1"/>
    <x v="2"/>
    <x v="2"/>
    <n v="65"/>
    <x v="4"/>
    <x v="1"/>
    <x v="4"/>
    <x v="1"/>
    <x v="4"/>
    <s v="18.08.17"/>
    <x v="1"/>
    <x v="6"/>
    <x v="1"/>
    <s v="never"/>
    <n v="1"/>
    <s v="nie"/>
    <x v="3"/>
    <x v="3"/>
    <m/>
    <n v="0"/>
    <n v="0"/>
    <n v="0"/>
    <n v="1"/>
    <n v="0"/>
    <n v="0"/>
    <n v="0"/>
    <n v="0"/>
    <s v="M1 odruchowo"/>
  </r>
  <r>
    <n v="192"/>
    <x v="4"/>
    <x v="1"/>
    <x v="2"/>
    <x v="1"/>
    <n v="20"/>
    <x v="1"/>
    <x v="2"/>
    <x v="4"/>
    <x v="1"/>
    <x v="1"/>
    <s v="18.08.17"/>
    <x v="1"/>
    <x v="6"/>
    <x v="1"/>
    <s v="never"/>
    <n v="1"/>
    <s v="nie"/>
    <x v="8"/>
    <x v="3"/>
    <m/>
    <n v="0"/>
    <n v="0"/>
    <n v="0"/>
    <n v="0"/>
    <n v="0"/>
    <n v="1"/>
    <n v="0"/>
    <n v="0"/>
    <s v="R bo WP ale za 1zł zmiana zdania"/>
  </r>
  <r>
    <n v="193"/>
    <x v="4"/>
    <x v="1"/>
    <x v="1"/>
    <x v="2"/>
    <n v="20"/>
    <x v="4"/>
    <x v="1"/>
    <x v="4"/>
    <x v="2"/>
    <x v="1"/>
    <s v="18.08.17"/>
    <x v="1"/>
    <x v="6"/>
    <x v="1"/>
    <s v="never"/>
    <n v="1"/>
    <s v="nie"/>
    <x v="3"/>
    <x v="3"/>
    <m/>
    <n v="0"/>
    <n v="0"/>
    <n v="0"/>
    <n v="1"/>
    <n v="0"/>
    <n v="0"/>
    <n v="0"/>
    <n v="0"/>
    <s v="M1 bo odruchowo ale 50gr nie bo pierwszy wybór"/>
  </r>
  <r>
    <n v="194"/>
    <x v="5"/>
    <x v="2"/>
    <x v="1"/>
    <x v="1"/>
    <n v="29"/>
    <x v="2"/>
    <x v="2"/>
    <x v="1"/>
    <x v="1"/>
    <x v="4"/>
    <s v="18.08.17"/>
    <x v="1"/>
    <x v="6"/>
    <x v="1"/>
    <s v="rarely"/>
    <n v="2"/>
    <s v="1x w roku"/>
    <x v="3"/>
    <x v="3"/>
    <m/>
    <n v="0"/>
    <n v="0"/>
    <n v="0"/>
    <n v="1"/>
    <n v="0"/>
    <n v="0"/>
    <n v="0"/>
    <n v="0"/>
    <s v="H5 bo odruchowo z lewej ale za 50g zmienia na R"/>
  </r>
  <r>
    <n v="195"/>
    <x v="2"/>
    <x v="1"/>
    <x v="2"/>
    <x v="2"/>
    <n v="56"/>
    <x v="1"/>
    <x v="1"/>
    <x v="1"/>
    <x v="2"/>
    <x v="4"/>
    <s v="21.08.17"/>
    <x v="2"/>
    <x v="5"/>
    <x v="1"/>
    <s v="regularly"/>
    <n v="4"/>
    <s v="2x w miesiącu"/>
    <x v="1"/>
    <x v="3"/>
    <m/>
    <n v="1"/>
    <n v="0"/>
    <n v="0"/>
    <n v="0"/>
    <n v="0"/>
    <n v="0"/>
    <n v="0"/>
    <n v="0"/>
    <s v="R bo losowe bardziej"/>
  </r>
  <r>
    <n v="196"/>
    <x v="2"/>
    <x v="1"/>
    <x v="2"/>
    <x v="1"/>
    <n v="56"/>
    <x v="5"/>
    <x v="1"/>
    <x v="6"/>
    <x v="1"/>
    <x v="4"/>
    <s v="21.08.17"/>
    <x v="2"/>
    <x v="5"/>
    <x v="1"/>
    <s v="never"/>
    <n v="1"/>
    <s v="nie"/>
    <x v="3"/>
    <x v="1"/>
    <m/>
    <n v="0"/>
    <n v="0"/>
    <n v="0"/>
    <n v="1"/>
    <n v="1"/>
    <n v="0"/>
    <n v="0"/>
    <n v="0"/>
    <s v="H1 odruchowo i TP ale 1zł nie"/>
  </r>
  <r>
    <n v="197"/>
    <x v="2"/>
    <x v="1"/>
    <x v="1"/>
    <x v="1"/>
    <n v="17"/>
    <x v="1"/>
    <x v="2"/>
    <x v="6"/>
    <x v="1"/>
    <x v="1"/>
    <s v="21.08.17"/>
    <x v="2"/>
    <x v="5"/>
    <x v="1"/>
    <s v="never"/>
    <n v="1"/>
    <s v="nie"/>
    <x v="8"/>
    <x v="1"/>
    <m/>
    <n v="0"/>
    <n v="0"/>
    <n v="0"/>
    <n v="0"/>
    <n v="1"/>
    <n v="1"/>
    <n v="0"/>
    <n v="0"/>
    <s v="R bo WP ale za 50gr H1 bo niby wie że TP"/>
  </r>
  <r>
    <n v="198"/>
    <x v="5"/>
    <x v="1"/>
    <x v="2"/>
    <x v="2"/>
    <n v="31"/>
    <x v="1"/>
    <x v="1"/>
    <x v="1"/>
    <x v="1"/>
    <x v="4"/>
    <s v="21.08.17"/>
    <x v="2"/>
    <x v="5"/>
    <x v="1"/>
    <s v="never"/>
    <n v="1"/>
    <s v="nie"/>
    <x v="3"/>
    <x v="3"/>
    <m/>
    <n v="0"/>
    <n v="0"/>
    <n v="0"/>
    <n v="1"/>
    <n v="0"/>
    <n v="0"/>
    <n v="0"/>
    <n v="0"/>
    <s v="R odruchowo, intuicja"/>
  </r>
  <r>
    <n v="199"/>
    <x v="5"/>
    <x v="1"/>
    <x v="1"/>
    <x v="2"/>
    <n v="25"/>
    <x v="1"/>
    <x v="2"/>
    <x v="7"/>
    <x v="2"/>
    <x v="1"/>
    <s v="21.08.17"/>
    <x v="2"/>
    <x v="5"/>
    <x v="1"/>
    <s v="never"/>
    <n v="1"/>
    <s v="nie"/>
    <x v="3"/>
    <x v="5"/>
    <s v="U7"/>
    <n v="0"/>
    <n v="0"/>
    <n v="1"/>
    <n v="1"/>
    <n v="0"/>
    <n v="0"/>
    <n v="0"/>
    <n v="0"/>
    <s v="R bo odruchowo i potem zobaczyła tam ulubione 7, ale za 50gr H5"/>
  </r>
  <r>
    <n v="200"/>
    <x v="5"/>
    <x v="1"/>
    <x v="1"/>
    <x v="2"/>
    <n v="43"/>
    <x v="1"/>
    <x v="1"/>
    <x v="1"/>
    <x v="2"/>
    <x v="3"/>
    <s v="21.08.17"/>
    <x v="2"/>
    <x v="5"/>
    <x v="1"/>
    <s v="rarely"/>
    <n v="2"/>
    <s v="kilka x w życiu"/>
    <x v="3"/>
    <x v="3"/>
    <m/>
    <n v="0"/>
    <n v="0"/>
    <n v="0"/>
    <n v="1"/>
    <n v="0"/>
    <n v="0"/>
    <n v="0"/>
    <n v="0"/>
    <s v="przeczucie"/>
  </r>
  <r>
    <n v="201"/>
    <x v="1"/>
    <x v="1"/>
    <x v="2"/>
    <x v="2"/>
    <n v="38"/>
    <x v="1"/>
    <x v="1"/>
    <x v="1"/>
    <x v="1"/>
    <x v="1"/>
    <s v="21.08.17"/>
    <x v="2"/>
    <x v="5"/>
    <x v="1"/>
    <s v="occasionally"/>
    <n v="3"/>
    <s v="kilka x w roku"/>
    <x v="8"/>
    <x v="3"/>
    <m/>
    <n v="0"/>
    <n v="0"/>
    <n v="0"/>
    <n v="0"/>
    <n v="0"/>
    <n v="1"/>
    <n v="0"/>
    <n v="0"/>
    <s v="R bo WP"/>
  </r>
  <r>
    <n v="202"/>
    <x v="1"/>
    <x v="1"/>
    <x v="1"/>
    <x v="2"/>
    <n v="26"/>
    <x v="1"/>
    <x v="1"/>
    <x v="1"/>
    <x v="1"/>
    <x v="4"/>
    <s v="21.08.17"/>
    <x v="2"/>
    <x v="5"/>
    <x v="1"/>
    <s v="never"/>
    <n v="1"/>
    <s v="nie"/>
    <x v="8"/>
    <x v="3"/>
    <m/>
    <n v="0"/>
    <n v="0"/>
    <n v="0"/>
    <n v="0"/>
    <n v="0"/>
    <n v="1"/>
    <n v="0"/>
    <n v="0"/>
    <s v="WP"/>
  </r>
  <r>
    <n v="203"/>
    <x v="1"/>
    <x v="2"/>
    <x v="1"/>
    <x v="2"/>
    <n v="35"/>
    <x v="7"/>
    <x v="1"/>
    <x v="3"/>
    <x v="2"/>
    <x v="1"/>
    <s v="21.08.17"/>
    <x v="2"/>
    <x v="5"/>
    <x v="1"/>
    <s v="occasionally"/>
    <n v="3"/>
    <s v="kilka x w roku"/>
    <x v="6"/>
    <x v="3"/>
    <m/>
    <n v="0"/>
    <n v="0"/>
    <n v="0"/>
    <n v="0"/>
    <n v="0"/>
    <n v="0"/>
    <n v="0"/>
    <n v="1"/>
    <s v="L1 bo LS"/>
  </r>
  <r>
    <n v="204"/>
    <x v="1"/>
    <x v="1"/>
    <x v="1"/>
    <x v="2"/>
    <n v="32"/>
    <x v="7"/>
    <x v="1"/>
    <x v="3"/>
    <x v="2"/>
    <x v="1"/>
    <s v="21.08.17"/>
    <x v="2"/>
    <x v="5"/>
    <x v="1"/>
    <s v="never"/>
    <n v="1"/>
    <s v="nie"/>
    <x v="3"/>
    <x v="3"/>
    <m/>
    <n v="0"/>
    <n v="0"/>
    <n v="0"/>
    <n v="1"/>
    <n v="0"/>
    <n v="0"/>
    <n v="0"/>
    <n v="0"/>
    <s v="L1 jakoś tak wpadło w oko"/>
  </r>
  <r>
    <n v="205"/>
    <x v="3"/>
    <x v="2"/>
    <x v="2"/>
    <x v="2"/>
    <n v="20"/>
    <x v="1"/>
    <x v="1"/>
    <x v="1"/>
    <x v="2"/>
    <x v="1"/>
    <s v="21.08.17"/>
    <x v="2"/>
    <x v="5"/>
    <x v="1"/>
    <s v="always"/>
    <n v="5"/>
    <s v="1x w tygodniu, w pracy razem z innymi"/>
    <x v="8"/>
    <x v="7"/>
    <m/>
    <n v="1"/>
    <n v="0"/>
    <n v="0"/>
    <n v="0"/>
    <n v="0"/>
    <n v="1"/>
    <n v="0"/>
    <n v="0"/>
    <s v="R bo WP i BL"/>
  </r>
  <r>
    <n v="206"/>
    <x v="3"/>
    <x v="1"/>
    <x v="2"/>
    <x v="1"/>
    <n v="21"/>
    <x v="1"/>
    <x v="1"/>
    <x v="1"/>
    <x v="2"/>
    <x v="1"/>
    <s v="21.08.17"/>
    <x v="2"/>
    <x v="5"/>
    <x v="1"/>
    <s v="rarely"/>
    <n v="2"/>
    <s v="kilka x w życiu"/>
    <x v="8"/>
    <x v="3"/>
    <m/>
    <n v="0"/>
    <n v="0"/>
    <n v="0"/>
    <n v="0"/>
    <n v="0"/>
    <n v="1"/>
    <n v="0"/>
    <n v="0"/>
    <s v="R bo WP"/>
  </r>
  <r>
    <n v="207"/>
    <x v="3"/>
    <x v="2"/>
    <x v="1"/>
    <x v="1"/>
    <n v="45"/>
    <x v="6"/>
    <x v="1"/>
    <x v="2"/>
    <x v="2"/>
    <x v="4"/>
    <s v="21.08.17"/>
    <x v="2"/>
    <x v="5"/>
    <x v="1"/>
    <s v="regularly"/>
    <n v="4"/>
    <s v="1x w mies"/>
    <x v="6"/>
    <x v="3"/>
    <m/>
    <n v="0"/>
    <n v="0"/>
    <n v="0"/>
    <n v="0"/>
    <n v="0"/>
    <n v="0"/>
    <n v="0"/>
    <n v="1"/>
    <s v="L5 bo LS"/>
  </r>
  <r>
    <n v="208"/>
    <x v="3"/>
    <x v="2"/>
    <x v="1"/>
    <x v="2"/>
    <n v="61"/>
    <x v="6"/>
    <x v="1"/>
    <x v="2"/>
    <x v="1"/>
    <x v="4"/>
    <s v="21.08.17"/>
    <x v="2"/>
    <x v="5"/>
    <x v="1"/>
    <s v="occasionally"/>
    <n v="3"/>
    <s v="co 3 mies"/>
    <x v="3"/>
    <x v="3"/>
    <m/>
    <n v="0"/>
    <n v="0"/>
    <n v="0"/>
    <n v="1"/>
    <n v="0"/>
    <n v="0"/>
    <n v="0"/>
    <n v="0"/>
    <s v="L5 odruchowo"/>
  </r>
  <r>
    <n v="209"/>
    <x v="3"/>
    <x v="1"/>
    <x v="1"/>
    <x v="2"/>
    <n v="42"/>
    <x v="6"/>
    <x v="1"/>
    <x v="2"/>
    <x v="2"/>
    <x v="1"/>
    <s v="21.08.17"/>
    <x v="2"/>
    <x v="5"/>
    <x v="1"/>
    <s v="rarely"/>
    <n v="2"/>
    <s v="kilka x w życiu"/>
    <x v="4"/>
    <x v="8"/>
    <m/>
    <n v="0"/>
    <n v="1"/>
    <n v="0"/>
    <n v="1"/>
    <n v="0"/>
    <n v="0"/>
    <n v="0"/>
    <n v="0"/>
    <s v="L5 bo WJ więc odruchowo wpadło w oko"/>
  </r>
  <r>
    <n v="210"/>
    <x v="4"/>
    <x v="2"/>
    <x v="2"/>
    <x v="2"/>
    <n v="38"/>
    <x v="4"/>
    <x v="1"/>
    <x v="4"/>
    <x v="1"/>
    <x v="1"/>
    <s v="21.08.17"/>
    <x v="2"/>
    <x v="5"/>
    <x v="1"/>
    <s v="never"/>
    <n v="1"/>
    <s v="nie"/>
    <x v="5"/>
    <x v="3"/>
    <m/>
    <n v="0"/>
    <n v="0"/>
    <n v="1"/>
    <n v="0"/>
    <n v="0"/>
    <n v="0"/>
    <n v="0"/>
    <n v="0"/>
    <s v="M1 bo data urodzenia"/>
  </r>
  <r>
    <n v="211"/>
    <x v="4"/>
    <x v="2"/>
    <x v="2"/>
    <x v="1"/>
    <n v="36"/>
    <x v="1"/>
    <x v="1"/>
    <x v="1"/>
    <x v="1"/>
    <x v="3"/>
    <s v="21.08.17"/>
    <x v="2"/>
    <x v="5"/>
    <x v="1"/>
    <s v="occasionally"/>
    <n v="3"/>
    <s v="kilka x w roku"/>
    <x v="8"/>
    <x v="3"/>
    <m/>
    <n v="0"/>
    <n v="0"/>
    <n v="0"/>
    <n v="0"/>
    <n v="0"/>
    <n v="1"/>
    <n v="0"/>
    <n v="0"/>
    <s v="R bo WP"/>
  </r>
  <r>
    <n v="212"/>
    <x v="4"/>
    <x v="1"/>
    <x v="2"/>
    <x v="2"/>
    <n v="31"/>
    <x v="4"/>
    <x v="1"/>
    <x v="4"/>
    <x v="1"/>
    <x v="1"/>
    <s v="21.08.17"/>
    <x v="2"/>
    <x v="5"/>
    <x v="1"/>
    <s v="never"/>
    <n v="1"/>
    <s v="nie"/>
    <x v="6"/>
    <x v="3"/>
    <m/>
    <n v="0"/>
    <n v="0"/>
    <n v="0"/>
    <n v="0"/>
    <n v="0"/>
    <n v="0"/>
    <n v="0"/>
    <n v="1"/>
    <s v="M1 bo LS"/>
  </r>
  <r>
    <n v="213"/>
    <x v="4"/>
    <x v="1"/>
    <x v="2"/>
    <x v="1"/>
    <n v="47"/>
    <x v="4"/>
    <x v="1"/>
    <x v="4"/>
    <x v="1"/>
    <x v="1"/>
    <s v="21.08.17"/>
    <x v="2"/>
    <x v="5"/>
    <x v="1"/>
    <s v="regularly"/>
    <n v="4"/>
    <s v="często"/>
    <x v="3"/>
    <x v="3"/>
    <m/>
    <n v="0"/>
    <n v="0"/>
    <n v="0"/>
    <n v="1"/>
    <n v="0"/>
    <n v="0"/>
    <n v="0"/>
    <n v="0"/>
    <s v="M1 odruchowo"/>
  </r>
  <r>
    <n v="214"/>
    <x v="4"/>
    <x v="2"/>
    <x v="1"/>
    <x v="2"/>
    <n v="40"/>
    <x v="1"/>
    <x v="1"/>
    <x v="1"/>
    <x v="1"/>
    <x v="3"/>
    <s v="21.08.17"/>
    <x v="2"/>
    <x v="5"/>
    <x v="1"/>
    <s v="never"/>
    <n v="1"/>
    <s v="nie"/>
    <x v="1"/>
    <x v="3"/>
    <m/>
    <n v="1"/>
    <n v="0"/>
    <n v="0"/>
    <n v="0"/>
    <n v="0"/>
    <n v="0"/>
    <n v="0"/>
    <n v="0"/>
    <s v="R bo BL"/>
  </r>
  <r>
    <n v="215"/>
    <x v="4"/>
    <x v="2"/>
    <x v="1"/>
    <x v="1"/>
    <n v="28"/>
    <x v="1"/>
    <x v="1"/>
    <x v="1"/>
    <x v="1"/>
    <x v="4"/>
    <s v="21.08.17"/>
    <x v="2"/>
    <x v="5"/>
    <x v="1"/>
    <s v="always"/>
    <n v="5"/>
    <s v="2x w tygodniu"/>
    <x v="5"/>
    <x v="3"/>
    <s v="U24"/>
    <n v="0"/>
    <n v="0"/>
    <n v="1"/>
    <n v="0"/>
    <n v="0"/>
    <n v="0"/>
    <n v="0"/>
    <n v="0"/>
    <s v="R bo U24 urodziny brata"/>
  </r>
  <r>
    <n v="216"/>
    <x v="4"/>
    <x v="1"/>
    <x v="1"/>
    <x v="2"/>
    <n v="30"/>
    <x v="1"/>
    <x v="1"/>
    <x v="1"/>
    <x v="2"/>
    <x v="3"/>
    <s v="21.08.17"/>
    <x v="2"/>
    <x v="5"/>
    <x v="1"/>
    <s v="never"/>
    <n v="1"/>
    <s v="nie"/>
    <x v="1"/>
    <x v="3"/>
    <m/>
    <n v="1"/>
    <n v="0"/>
    <n v="0"/>
    <n v="0"/>
    <n v="0"/>
    <n v="0"/>
    <n v="0"/>
    <n v="0"/>
    <s v="R bo BL"/>
  </r>
  <r>
    <n v="217"/>
    <x v="4"/>
    <x v="1"/>
    <x v="1"/>
    <x v="2"/>
    <n v="23"/>
    <x v="1"/>
    <x v="1"/>
    <x v="1"/>
    <x v="2"/>
    <x v="3"/>
    <s v="21.08.17"/>
    <x v="2"/>
    <x v="5"/>
    <x v="1"/>
    <s v="occasionally"/>
    <n v="3"/>
    <s v="kilka x w roku"/>
    <x v="1"/>
    <x v="4"/>
    <m/>
    <n v="1"/>
    <n v="0"/>
    <n v="0"/>
    <n v="0"/>
    <n v="0"/>
    <n v="1"/>
    <n v="0"/>
    <n v="0"/>
    <s v="R bo BL i WP"/>
  </r>
  <r>
    <n v="218"/>
    <x v="4"/>
    <x v="1"/>
    <x v="1"/>
    <x v="1"/>
    <n v="33"/>
    <x v="1"/>
    <x v="1"/>
    <x v="1"/>
    <x v="2"/>
    <x v="1"/>
    <s v="21.08.17"/>
    <x v="2"/>
    <x v="5"/>
    <x v="1"/>
    <s v="occasionally"/>
    <n v="3"/>
    <s v="kilka x w roku"/>
    <x v="4"/>
    <x v="3"/>
    <m/>
    <n v="0"/>
    <n v="1"/>
    <n v="0"/>
    <n v="0"/>
    <n v="0"/>
    <n v="0"/>
    <n v="0"/>
    <n v="0"/>
    <s v="R bo WJ"/>
  </r>
  <r>
    <n v="219"/>
    <x v="4"/>
    <x v="2"/>
    <x v="2"/>
    <x v="2"/>
    <n v="26"/>
    <x v="1"/>
    <x v="1"/>
    <x v="1"/>
    <x v="1"/>
    <x v="4"/>
    <s v="21.08.17"/>
    <x v="2"/>
    <x v="5"/>
    <x v="1"/>
    <s v="rarely"/>
    <n v="2"/>
    <s v="kilka x w życiu"/>
    <x v="5"/>
    <x v="4"/>
    <s v="U7"/>
    <n v="0"/>
    <n v="0"/>
    <n v="1"/>
    <n v="0"/>
    <n v="0"/>
    <n v="1"/>
    <n v="0"/>
    <n v="0"/>
    <s v="R bo U7 i WP"/>
  </r>
  <r>
    <n v="220"/>
    <x v="4"/>
    <x v="1"/>
    <x v="2"/>
    <x v="2"/>
    <n v="25"/>
    <x v="4"/>
    <x v="1"/>
    <x v="4"/>
    <x v="1"/>
    <x v="1"/>
    <s v="21.08.17"/>
    <x v="2"/>
    <x v="5"/>
    <x v="1"/>
    <s v="never"/>
    <n v="1"/>
    <s v="nie"/>
    <x v="5"/>
    <x v="3"/>
    <s v="U7"/>
    <n v="0"/>
    <n v="0"/>
    <n v="1"/>
    <n v="0"/>
    <n v="0"/>
    <n v="0"/>
    <n v="0"/>
    <n v="0"/>
    <s v="M1 bo U7"/>
  </r>
  <r>
    <n v="221"/>
    <x v="2"/>
    <x v="2"/>
    <x v="1"/>
    <x v="2"/>
    <n v="20"/>
    <x v="1"/>
    <x v="1"/>
    <x v="1"/>
    <x v="1"/>
    <x v="4"/>
    <s v="22.08.17"/>
    <x v="2"/>
    <x v="1"/>
    <x v="1"/>
    <s v="never"/>
    <n v="1"/>
    <s v="nie"/>
    <x v="5"/>
    <x v="3"/>
    <m/>
    <n v="0"/>
    <n v="0"/>
    <n v="1"/>
    <n v="0"/>
    <n v="0"/>
    <n v="0"/>
    <n v="0"/>
    <n v="0"/>
    <s v="R bo więcej liczb lepiej się kojarzy"/>
  </r>
  <r>
    <n v="222"/>
    <x v="2"/>
    <x v="2"/>
    <x v="1"/>
    <x v="1"/>
    <n v="27"/>
    <x v="1"/>
    <x v="1"/>
    <x v="1"/>
    <x v="1"/>
    <x v="1"/>
    <s v="22.08.17"/>
    <x v="2"/>
    <x v="2"/>
    <x v="1"/>
    <s v="rarely"/>
    <n v="2"/>
    <s v="2x w roku"/>
    <x v="10"/>
    <x v="4"/>
    <m/>
    <n v="0"/>
    <n v="0"/>
    <n v="0"/>
    <n v="0"/>
    <n v="1"/>
    <n v="1"/>
    <n v="0"/>
    <n v="0"/>
    <s v="R choć wie że TP ale w rzeczywistości nigdy po kolei nie widział a R widział więc R bo WP"/>
  </r>
  <r>
    <n v="223"/>
    <x v="2"/>
    <x v="1"/>
    <x v="1"/>
    <x v="1"/>
    <n v="52"/>
    <x v="1"/>
    <x v="1"/>
    <x v="1"/>
    <x v="2"/>
    <x v="1"/>
    <s v="22.08.17"/>
    <x v="2"/>
    <x v="1"/>
    <x v="1"/>
    <s v="never"/>
    <n v="1"/>
    <s v="nie"/>
    <x v="8"/>
    <x v="3"/>
    <m/>
    <n v="0"/>
    <n v="0"/>
    <n v="0"/>
    <n v="0"/>
    <n v="0"/>
    <n v="1"/>
    <n v="0"/>
    <n v="0"/>
    <s v="WP"/>
  </r>
  <r>
    <n v="224"/>
    <x v="2"/>
    <x v="1"/>
    <x v="1"/>
    <x v="1"/>
    <n v="37"/>
    <x v="1"/>
    <x v="1"/>
    <x v="1"/>
    <x v="2"/>
    <x v="1"/>
    <s v="22.08.17"/>
    <x v="2"/>
    <x v="2"/>
    <x v="1"/>
    <s v="occasionally"/>
    <n v="3"/>
    <s v="kilka x w roku"/>
    <x v="4"/>
    <x v="8"/>
    <m/>
    <n v="0"/>
    <n v="1"/>
    <n v="0"/>
    <n v="1"/>
    <n v="0"/>
    <n v="0"/>
    <n v="0"/>
    <n v="0"/>
    <s v="R ale WJ więc pierwszy po lewej"/>
  </r>
  <r>
    <n v="225"/>
    <x v="5"/>
    <x v="2"/>
    <x v="2"/>
    <x v="2"/>
    <n v="34"/>
    <x v="1"/>
    <x v="2"/>
    <x v="7"/>
    <x v="2"/>
    <x v="1"/>
    <s v="22.08.17"/>
    <x v="2"/>
    <x v="2"/>
    <x v="1"/>
    <s v="never"/>
    <n v="1"/>
    <s v="nie"/>
    <x v="6"/>
    <x v="3"/>
    <m/>
    <n v="0"/>
    <n v="0"/>
    <n v="0"/>
    <n v="0"/>
    <n v="0"/>
    <n v="0"/>
    <n v="0"/>
    <n v="1"/>
    <s v="R bo ładna kolejność pierwszych liczb, ale za 1zł H5"/>
  </r>
  <r>
    <n v="226"/>
    <x v="5"/>
    <x v="2"/>
    <x v="2"/>
    <x v="1"/>
    <n v="23"/>
    <x v="2"/>
    <x v="1"/>
    <x v="7"/>
    <x v="1"/>
    <x v="3"/>
    <s v="22.08.17"/>
    <x v="2"/>
    <x v="2"/>
    <x v="1"/>
    <s v="never"/>
    <n v="1"/>
    <s v="nie"/>
    <x v="5"/>
    <x v="3"/>
    <s v="U5"/>
    <n v="0"/>
    <n v="0"/>
    <n v="1"/>
    <n v="0"/>
    <n v="0"/>
    <n v="0"/>
    <n v="0"/>
    <n v="0"/>
    <s v="H5 bo lubi 5 a tu ich dużo"/>
  </r>
  <r>
    <n v="227"/>
    <x v="5"/>
    <x v="1"/>
    <x v="1"/>
    <x v="1"/>
    <n v="69"/>
    <x v="1"/>
    <x v="1"/>
    <x v="1"/>
    <x v="2"/>
    <x v="4"/>
    <s v="22.08.17"/>
    <x v="2"/>
    <x v="1"/>
    <x v="1"/>
    <s v="never"/>
    <n v="1"/>
    <s v="nie"/>
    <x v="4"/>
    <x v="8"/>
    <m/>
    <n v="0"/>
    <n v="1"/>
    <n v="0"/>
    <n v="1"/>
    <n v="0"/>
    <n v="0"/>
    <n v="0"/>
    <n v="0"/>
    <s v="R bo pierwszy w lewej a WJ"/>
  </r>
  <r>
    <n v="228"/>
    <x v="3"/>
    <x v="1"/>
    <x v="1"/>
    <x v="2"/>
    <n v="26"/>
    <x v="1"/>
    <x v="1"/>
    <x v="1"/>
    <x v="2"/>
    <x v="3"/>
    <s v="22.08.17"/>
    <x v="2"/>
    <x v="1"/>
    <x v="1"/>
    <s v="never"/>
    <n v="1"/>
    <s v="nie"/>
    <x v="3"/>
    <x v="5"/>
    <s v="U3"/>
    <n v="0"/>
    <n v="0"/>
    <n v="1"/>
    <n v="1"/>
    <n v="0"/>
    <n v="0"/>
    <n v="0"/>
    <n v="0"/>
    <s v="R bo pierwsze wpadło w oko i U3"/>
  </r>
  <r>
    <n v="229"/>
    <x v="4"/>
    <x v="2"/>
    <x v="1"/>
    <x v="2"/>
    <n v="53"/>
    <x v="4"/>
    <x v="1"/>
    <x v="4"/>
    <x v="2"/>
    <x v="1"/>
    <s v="22.08.17"/>
    <x v="2"/>
    <x v="2"/>
    <x v="1"/>
    <s v="regularly"/>
    <n v="4"/>
    <s v="1x w mies"/>
    <x v="5"/>
    <x v="3"/>
    <m/>
    <n v="0"/>
    <n v="0"/>
    <n v="1"/>
    <n v="0"/>
    <n v="0"/>
    <n v="0"/>
    <n v="0"/>
    <n v="0"/>
    <s v="M1 bo różne szczęśliwe liczby"/>
  </r>
  <r>
    <n v="230"/>
    <x v="4"/>
    <x v="2"/>
    <x v="1"/>
    <x v="1"/>
    <n v="36"/>
    <x v="1"/>
    <x v="1"/>
    <x v="1"/>
    <x v="2"/>
    <x v="1"/>
    <s v="22.08.17"/>
    <x v="2"/>
    <x v="1"/>
    <x v="1"/>
    <s v="never"/>
    <n v="1"/>
    <s v="nie"/>
    <x v="9"/>
    <x v="3"/>
    <m/>
    <n v="0"/>
    <n v="0"/>
    <n v="0"/>
    <n v="0"/>
    <n v="0"/>
    <n v="0"/>
    <n v="0"/>
    <n v="0"/>
    <s v="WP"/>
  </r>
  <r>
    <n v="231"/>
    <x v="6"/>
    <x v="2"/>
    <x v="2"/>
    <x v="2"/>
    <n v="67"/>
    <x v="1"/>
    <x v="1"/>
    <x v="1"/>
    <x v="2"/>
    <x v="3"/>
    <s v="22.08.17"/>
    <x v="2"/>
    <x v="2"/>
    <x v="1"/>
    <s v="occasionally"/>
    <n v="3"/>
    <s v="kilka x w roku"/>
    <x v="5"/>
    <x v="3"/>
    <s v="U79"/>
    <n v="0"/>
    <n v="0"/>
    <n v="1"/>
    <n v="0"/>
    <n v="0"/>
    <n v="0"/>
    <n v="0"/>
    <n v="0"/>
    <s v="R bo lubi 79 a rzuciło się w oko"/>
  </r>
  <r>
    <n v="232"/>
    <x v="6"/>
    <x v="2"/>
    <x v="1"/>
    <x v="2"/>
    <n v="38"/>
    <x v="1"/>
    <x v="1"/>
    <x v="1"/>
    <x v="2"/>
    <x v="1"/>
    <s v="22.08.17"/>
    <x v="2"/>
    <x v="2"/>
    <x v="1"/>
    <s v="never"/>
    <n v="1"/>
    <s v="nie"/>
    <x v="1"/>
    <x v="3"/>
    <m/>
    <n v="1"/>
    <n v="0"/>
    <n v="0"/>
    <n v="0"/>
    <n v="0"/>
    <n v="0"/>
    <n v="0"/>
    <n v="0"/>
    <s v="R bo BL"/>
  </r>
  <r>
    <n v="233"/>
    <x v="6"/>
    <x v="2"/>
    <x v="1"/>
    <x v="2"/>
    <n v="44"/>
    <x v="1"/>
    <x v="1"/>
    <x v="1"/>
    <x v="2"/>
    <x v="3"/>
    <s v="22.08.17"/>
    <x v="2"/>
    <x v="1"/>
    <x v="1"/>
    <s v="never"/>
    <n v="1"/>
    <s v="nie"/>
    <x v="8"/>
    <x v="3"/>
    <m/>
    <n v="0"/>
    <n v="0"/>
    <n v="0"/>
    <n v="0"/>
    <n v="0"/>
    <n v="1"/>
    <n v="0"/>
    <n v="0"/>
    <s v="WP"/>
  </r>
  <r>
    <n v="234"/>
    <x v="6"/>
    <x v="1"/>
    <x v="1"/>
    <x v="1"/>
    <n v="24"/>
    <x v="3"/>
    <x v="1"/>
    <x v="5"/>
    <x v="2"/>
    <x v="1"/>
    <s v="22.08.17"/>
    <x v="2"/>
    <x v="2"/>
    <x v="1"/>
    <s v="never"/>
    <n v="1"/>
    <s v="nie"/>
    <x v="4"/>
    <x v="6"/>
    <m/>
    <n v="0"/>
    <n v="1"/>
    <n v="0"/>
    <n v="0"/>
    <n v="0"/>
    <n v="0"/>
    <n v="0"/>
    <n v="1"/>
    <s v="M5 bo WJ i LS"/>
  </r>
  <r>
    <n v="235"/>
    <x v="4"/>
    <x v="1"/>
    <x v="2"/>
    <x v="1"/>
    <n v="24"/>
    <x v="1"/>
    <x v="1"/>
    <x v="1"/>
    <x v="1"/>
    <x v="4"/>
    <s v="22.08.17"/>
    <x v="2"/>
    <x v="2"/>
    <x v="1"/>
    <s v="occasionally"/>
    <n v="3"/>
    <s v="kilka x w roku"/>
    <x v="1"/>
    <x v="3"/>
    <m/>
    <n v="1"/>
    <n v="0"/>
    <n v="0"/>
    <n v="0"/>
    <n v="0"/>
    <n v="0"/>
    <n v="0"/>
    <n v="0"/>
    <s v="BL"/>
  </r>
  <r>
    <n v="236"/>
    <x v="6"/>
    <x v="2"/>
    <x v="2"/>
    <x v="1"/>
    <n v="66"/>
    <x v="1"/>
    <x v="1"/>
    <x v="1"/>
    <x v="2"/>
    <x v="3"/>
    <s v="22.08.17"/>
    <x v="2"/>
    <x v="1"/>
    <x v="1"/>
    <s v="always"/>
    <n v="5"/>
    <s v="kilka x w tyg"/>
    <x v="1"/>
    <x v="3"/>
    <m/>
    <n v="1"/>
    <n v="0"/>
    <n v="0"/>
    <n v="0"/>
    <n v="0"/>
    <n v="0"/>
    <n v="0"/>
    <n v="0"/>
    <s v="BL"/>
  </r>
  <r>
    <n v="237"/>
    <x v="2"/>
    <x v="2"/>
    <x v="2"/>
    <x v="1"/>
    <n v="54"/>
    <x v="1"/>
    <x v="1"/>
    <x v="1"/>
    <x v="2"/>
    <x v="3"/>
    <s v="22.08.17"/>
    <x v="2"/>
    <x v="1"/>
    <x v="1"/>
    <s v="always"/>
    <n v="5"/>
    <s v="kilka x w mies"/>
    <x v="1"/>
    <x v="3"/>
    <m/>
    <n v="1"/>
    <n v="0"/>
    <n v="0"/>
    <n v="0"/>
    <n v="0"/>
    <n v="0"/>
    <n v="0"/>
    <n v="0"/>
    <s v="BL"/>
  </r>
  <r>
    <n v="238"/>
    <x v="2"/>
    <x v="2"/>
    <x v="2"/>
    <x v="1"/>
    <n v="64"/>
    <x v="1"/>
    <x v="1"/>
    <x v="1"/>
    <x v="2"/>
    <x v="3"/>
    <s v="23.08.17"/>
    <x v="2"/>
    <x v="4"/>
    <x v="1"/>
    <s v="always"/>
    <n v="5"/>
    <s v="codziennie"/>
    <x v="8"/>
    <x v="7"/>
    <m/>
    <n v="1"/>
    <n v="0"/>
    <n v="0"/>
    <n v="0"/>
    <n v="0"/>
    <n v="1"/>
    <n v="0"/>
    <n v="0"/>
    <s v="R bo WP i BL"/>
  </r>
  <r>
    <n v="239"/>
    <x v="2"/>
    <x v="2"/>
    <x v="2"/>
    <x v="1"/>
    <n v="31"/>
    <x v="5"/>
    <x v="1"/>
    <x v="6"/>
    <x v="1"/>
    <x v="1"/>
    <s v="23.08.17"/>
    <x v="2"/>
    <x v="6"/>
    <x v="1"/>
    <s v="occasionally"/>
    <n v="3"/>
    <s v="kilka x w roku"/>
    <x v="5"/>
    <x v="3"/>
    <s v="U7"/>
    <n v="0"/>
    <n v="0"/>
    <n v="1"/>
    <n v="0"/>
    <n v="0"/>
    <n v="0"/>
    <n v="0"/>
    <n v="0"/>
    <s v="H1 bo 7 i rok urodzin w rodzinie"/>
  </r>
  <r>
    <n v="240"/>
    <x v="2"/>
    <x v="2"/>
    <x v="2"/>
    <x v="1"/>
    <n v="48"/>
    <x v="5"/>
    <x v="1"/>
    <x v="6"/>
    <x v="1"/>
    <x v="3"/>
    <s v="23.08.17"/>
    <x v="2"/>
    <x v="4"/>
    <x v="1"/>
    <s v="always"/>
    <n v="5"/>
    <s v="2x w tygodniu"/>
    <x v="5"/>
    <x v="3"/>
    <s v="U7"/>
    <n v="0"/>
    <n v="0"/>
    <n v="1"/>
    <n v="0"/>
    <n v="0"/>
    <n v="0"/>
    <n v="0"/>
    <n v="0"/>
    <s v="H1 bo dużo 7 a to szczęśliwe"/>
  </r>
  <r>
    <n v="241"/>
    <x v="2"/>
    <x v="2"/>
    <x v="1"/>
    <x v="2"/>
    <n v="72"/>
    <x v="1"/>
    <x v="1"/>
    <x v="1"/>
    <x v="2"/>
    <x v="3"/>
    <s v="23.08.17"/>
    <x v="2"/>
    <x v="4"/>
    <x v="1"/>
    <s v="always"/>
    <n v="5"/>
    <s v="1x w tygodniu"/>
    <x v="1"/>
    <x v="3"/>
    <m/>
    <n v="1"/>
    <n v="0"/>
    <n v="0"/>
    <n v="0"/>
    <n v="0"/>
    <n v="0"/>
    <n v="0"/>
    <n v="0"/>
    <s v="R bo BL"/>
  </r>
  <r>
    <n v="242"/>
    <x v="2"/>
    <x v="1"/>
    <x v="1"/>
    <x v="2"/>
    <n v="43"/>
    <x v="1"/>
    <x v="1"/>
    <x v="1"/>
    <x v="2"/>
    <x v="3"/>
    <s v="23.08.17"/>
    <x v="2"/>
    <x v="4"/>
    <x v="1"/>
    <s v="always"/>
    <n v="5"/>
    <s v="kilka x w tyg"/>
    <x v="1"/>
    <x v="3"/>
    <m/>
    <n v="1"/>
    <n v="0"/>
    <n v="0"/>
    <n v="0"/>
    <n v="0"/>
    <n v="0"/>
    <n v="0"/>
    <n v="0"/>
    <s v="BL"/>
  </r>
  <r>
    <n v="243"/>
    <x v="5"/>
    <x v="2"/>
    <x v="2"/>
    <x v="1"/>
    <n v="50"/>
    <x v="1"/>
    <x v="1"/>
    <x v="1"/>
    <x v="2"/>
    <x v="3"/>
    <s v="23.08.17"/>
    <x v="2"/>
    <x v="4"/>
    <x v="1"/>
    <s v="always"/>
    <n v="5"/>
    <s v="kilka x w mies"/>
    <x v="1"/>
    <x v="3"/>
    <m/>
    <n v="1"/>
    <n v="0"/>
    <n v="0"/>
    <n v="0"/>
    <n v="0"/>
    <n v="0"/>
    <n v="0"/>
    <n v="0"/>
    <s v="BL"/>
  </r>
  <r>
    <n v="244"/>
    <x v="5"/>
    <x v="2"/>
    <x v="2"/>
    <x v="2"/>
    <n v="28"/>
    <x v="1"/>
    <x v="1"/>
    <x v="1"/>
    <x v="1"/>
    <x v="1"/>
    <s v="23.08.17"/>
    <x v="2"/>
    <x v="6"/>
    <x v="1"/>
    <s v="occasionally"/>
    <n v="3"/>
    <s v="czasami"/>
    <x v="1"/>
    <x v="3"/>
    <m/>
    <n v="1"/>
    <n v="0"/>
    <n v="0"/>
    <n v="0"/>
    <n v="0"/>
    <n v="0"/>
    <n v="0"/>
    <n v="0"/>
    <s v="BL"/>
  </r>
  <r>
    <n v="245"/>
    <x v="5"/>
    <x v="2"/>
    <x v="2"/>
    <x v="1"/>
    <n v="39"/>
    <x v="2"/>
    <x v="2"/>
    <x v="1"/>
    <x v="1"/>
    <x v="3"/>
    <s v="23.08.17"/>
    <x v="2"/>
    <x v="4"/>
    <x v="1"/>
    <s v="always"/>
    <n v="5"/>
    <s v="2x w tygodniu"/>
    <x v="6"/>
    <x v="3"/>
    <m/>
    <n v="0"/>
    <n v="0"/>
    <n v="0"/>
    <n v="0"/>
    <n v="0"/>
    <n v="0"/>
    <n v="0"/>
    <n v="1"/>
    <s v="H5 bo LS ale za 1zł R"/>
  </r>
  <r>
    <n v="246"/>
    <x v="5"/>
    <x v="2"/>
    <x v="1"/>
    <x v="1"/>
    <n v="38"/>
    <x v="1"/>
    <x v="1"/>
    <x v="1"/>
    <x v="2"/>
    <x v="4"/>
    <s v="23.08.17"/>
    <x v="2"/>
    <x v="6"/>
    <x v="1"/>
    <s v="always"/>
    <n v="5"/>
    <s v="co drugi dzień"/>
    <x v="1"/>
    <x v="3"/>
    <m/>
    <n v="1"/>
    <n v="0"/>
    <n v="0"/>
    <n v="0"/>
    <n v="0"/>
    <n v="0"/>
    <n v="0"/>
    <n v="0"/>
    <s v="BL"/>
  </r>
  <r>
    <n v="247"/>
    <x v="5"/>
    <x v="2"/>
    <x v="1"/>
    <x v="2"/>
    <n v="36"/>
    <x v="2"/>
    <x v="1"/>
    <x v="7"/>
    <x v="2"/>
    <x v="3"/>
    <s v="23.08.17"/>
    <x v="2"/>
    <x v="6"/>
    <x v="1"/>
    <s v="occasionally"/>
    <n v="3"/>
    <s v="kilka x w roku"/>
    <x v="6"/>
    <x v="3"/>
    <m/>
    <n v="0"/>
    <n v="0"/>
    <n v="0"/>
    <n v="0"/>
    <n v="0"/>
    <n v="0"/>
    <n v="0"/>
    <n v="1"/>
    <s v="H5 bo LS"/>
  </r>
  <r>
    <n v="248"/>
    <x v="5"/>
    <x v="2"/>
    <x v="1"/>
    <x v="2"/>
    <n v="43"/>
    <x v="2"/>
    <x v="2"/>
    <x v="1"/>
    <x v="2"/>
    <x v="1"/>
    <s v="23.08.17"/>
    <x v="2"/>
    <x v="4"/>
    <x v="1"/>
    <s v="always"/>
    <n v="5"/>
    <s v="codziennie"/>
    <x v="5"/>
    <x v="3"/>
    <m/>
    <n v="0"/>
    <n v="0"/>
    <n v="1"/>
    <n v="0"/>
    <n v="0"/>
    <n v="0"/>
    <n v="0"/>
    <n v="0"/>
    <s v="H5 bo daty urodzin ale za 50gr R"/>
  </r>
  <r>
    <n v="249"/>
    <x v="5"/>
    <x v="2"/>
    <x v="1"/>
    <x v="1"/>
    <n v="64"/>
    <x v="1"/>
    <x v="1"/>
    <x v="1"/>
    <x v="1"/>
    <x v="4"/>
    <s v="23.08.17"/>
    <x v="2"/>
    <x v="4"/>
    <x v="1"/>
    <s v="always"/>
    <n v="5"/>
    <s v="co drugi dzień"/>
    <x v="6"/>
    <x v="3"/>
    <m/>
    <n v="0"/>
    <n v="0"/>
    <n v="0"/>
    <n v="0"/>
    <n v="0"/>
    <n v="0"/>
    <n v="0"/>
    <n v="1"/>
    <s v="R bo LS"/>
  </r>
  <r>
    <n v="250"/>
    <x v="3"/>
    <x v="2"/>
    <x v="2"/>
    <x v="1"/>
    <n v="58"/>
    <x v="1"/>
    <x v="1"/>
    <x v="1"/>
    <x v="2"/>
    <x v="3"/>
    <s v="23.08.17"/>
    <x v="2"/>
    <x v="4"/>
    <x v="1"/>
    <s v="always"/>
    <n v="5"/>
    <s v="2x w tygodniu"/>
    <x v="1"/>
    <x v="2"/>
    <m/>
    <n v="1"/>
    <n v="0"/>
    <n v="0"/>
    <n v="0"/>
    <n v="0"/>
    <n v="0"/>
    <n v="1"/>
    <n v="0"/>
    <s v="R bo BL i większy rozrzut"/>
  </r>
  <r>
    <n v="251"/>
    <x v="3"/>
    <x v="1"/>
    <x v="2"/>
    <x v="2"/>
    <n v="64"/>
    <x v="1"/>
    <x v="1"/>
    <x v="1"/>
    <x v="2"/>
    <x v="3"/>
    <s v="23.08.17"/>
    <x v="2"/>
    <x v="4"/>
    <x v="1"/>
    <s v="always"/>
    <n v="5"/>
    <s v="codziennie"/>
    <x v="1"/>
    <x v="5"/>
    <s v="U66"/>
    <n v="1"/>
    <n v="0"/>
    <n v="1"/>
    <n v="0"/>
    <n v="0"/>
    <n v="0"/>
    <n v="0"/>
    <n v="0"/>
    <s v="R bo BL i U66"/>
  </r>
  <r>
    <n v="252"/>
    <x v="4"/>
    <x v="2"/>
    <x v="1"/>
    <x v="1"/>
    <n v="55"/>
    <x v="4"/>
    <x v="2"/>
    <x v="1"/>
    <x v="1"/>
    <x v="1"/>
    <s v="23.08.17"/>
    <x v="2"/>
    <x v="4"/>
    <x v="1"/>
    <s v="always"/>
    <n v="5"/>
    <s v="kilka x w mies"/>
    <x v="6"/>
    <x v="3"/>
    <m/>
    <n v="0"/>
    <n v="0"/>
    <n v="0"/>
    <n v="0"/>
    <n v="0"/>
    <n v="0"/>
    <n v="0"/>
    <n v="1"/>
    <s v="M1 bo LS ale za 50gr R"/>
  </r>
  <r>
    <n v="253"/>
    <x v="4"/>
    <x v="1"/>
    <x v="1"/>
    <x v="2"/>
    <n v="81"/>
    <x v="1"/>
    <x v="1"/>
    <x v="1"/>
    <x v="1"/>
    <x v="4"/>
    <s v="23.08.17"/>
    <x v="2"/>
    <x v="4"/>
    <x v="1"/>
    <s v="rarely"/>
    <n v="2"/>
    <s v="rzadko"/>
    <x v="5"/>
    <x v="3"/>
    <s v="U13,78"/>
    <n v="0"/>
    <n v="0"/>
    <n v="1"/>
    <n v="0"/>
    <n v="0"/>
    <n v="0"/>
    <n v="0"/>
    <n v="0"/>
    <s v="R bo lubi 13 i 78"/>
  </r>
  <r>
    <n v="254"/>
    <x v="2"/>
    <x v="2"/>
    <x v="2"/>
    <x v="1"/>
    <n v="65"/>
    <x v="1"/>
    <x v="1"/>
    <x v="1"/>
    <x v="2"/>
    <x v="4"/>
    <s v="11.09.17"/>
    <x v="1"/>
    <x v="5"/>
    <x v="2"/>
    <s v="occasionally"/>
    <n v="3"/>
    <s v="3x w roku"/>
    <x v="2"/>
    <x v="3"/>
    <m/>
    <n v="0"/>
    <n v="0"/>
    <n v="0"/>
    <n v="0"/>
    <n v="0"/>
    <n v="0"/>
    <n v="1"/>
    <n v="0"/>
    <s v="BR"/>
  </r>
  <r>
    <n v="255"/>
    <x v="2"/>
    <x v="2"/>
    <x v="2"/>
    <x v="2"/>
    <n v="35"/>
    <x v="1"/>
    <x v="1"/>
    <x v="1"/>
    <x v="2"/>
    <x v="4"/>
    <s v="11.09.17"/>
    <x v="1"/>
    <x v="5"/>
    <x v="2"/>
    <s v="rarely"/>
    <n v="2"/>
    <s v="2x w roku"/>
    <x v="1"/>
    <x v="3"/>
    <m/>
    <n v="1"/>
    <n v="0"/>
    <n v="0"/>
    <n v="0"/>
    <n v="0"/>
    <n v="0"/>
    <n v="0"/>
    <n v="0"/>
    <s v="BL"/>
  </r>
  <r>
    <n v="256"/>
    <x v="2"/>
    <x v="2"/>
    <x v="2"/>
    <x v="1"/>
    <n v="23"/>
    <x v="1"/>
    <x v="2"/>
    <x v="6"/>
    <x v="1"/>
    <x v="1"/>
    <s v="11.09.17"/>
    <x v="1"/>
    <x v="6"/>
    <x v="2"/>
    <s v="rarely"/>
    <n v="2"/>
    <s v="1x w roku"/>
    <x v="2"/>
    <x v="3"/>
    <m/>
    <n v="0"/>
    <n v="0"/>
    <n v="0"/>
    <n v="0"/>
    <n v="0"/>
    <n v="0"/>
    <n v="1"/>
    <n v="0"/>
    <s v="BR"/>
  </r>
  <r>
    <n v="257"/>
    <x v="2"/>
    <x v="2"/>
    <x v="2"/>
    <x v="2"/>
    <n v="62"/>
    <x v="1"/>
    <x v="1"/>
    <x v="1"/>
    <x v="1"/>
    <x v="1"/>
    <s v="11.09.17"/>
    <x v="2"/>
    <x v="5"/>
    <x v="2"/>
    <s v="never"/>
    <n v="1"/>
    <s v="nie"/>
    <x v="3"/>
    <x v="3"/>
    <m/>
    <n v="0"/>
    <n v="0"/>
    <n v="0"/>
    <n v="1"/>
    <n v="0"/>
    <n v="0"/>
    <n v="0"/>
    <n v="0"/>
    <s v="O"/>
  </r>
  <r>
    <n v="258"/>
    <x v="2"/>
    <x v="2"/>
    <x v="1"/>
    <x v="2"/>
    <n v="22"/>
    <x v="1"/>
    <x v="1"/>
    <x v="1"/>
    <x v="2"/>
    <x v="3"/>
    <s v="11.09.17"/>
    <x v="2"/>
    <x v="5"/>
    <x v="2"/>
    <s v="rarely"/>
    <n v="2"/>
    <s v="1x w roku"/>
    <x v="8"/>
    <x v="3"/>
    <m/>
    <n v="0"/>
    <n v="0"/>
    <n v="0"/>
    <n v="0"/>
    <n v="0"/>
    <n v="1"/>
    <n v="0"/>
    <n v="0"/>
    <s v="WP"/>
  </r>
  <r>
    <n v="259"/>
    <x v="2"/>
    <x v="2"/>
    <x v="1"/>
    <x v="2"/>
    <n v="18"/>
    <x v="5"/>
    <x v="2"/>
    <x v="1"/>
    <x v="1"/>
    <x v="3"/>
    <s v="11.09.17"/>
    <x v="1"/>
    <x v="5"/>
    <x v="2"/>
    <s v="never"/>
    <n v="1"/>
    <s v="nigdy"/>
    <x v="4"/>
    <x v="3"/>
    <m/>
    <n v="0"/>
    <n v="1"/>
    <n v="0"/>
    <n v="0"/>
    <n v="0"/>
    <n v="0"/>
    <n v="0"/>
    <n v="0"/>
    <s v="WJ"/>
  </r>
  <r>
    <n v="260"/>
    <x v="2"/>
    <x v="1"/>
    <x v="2"/>
    <x v="1"/>
    <n v="56"/>
    <x v="5"/>
    <x v="1"/>
    <x v="6"/>
    <x v="2"/>
    <x v="3"/>
    <s v="11.09.17"/>
    <x v="2"/>
    <x v="5"/>
    <x v="2"/>
    <s v="regularly"/>
    <n v="4"/>
    <s v="1x w mies"/>
    <x v="6"/>
    <x v="3"/>
    <m/>
    <n v="0"/>
    <n v="0"/>
    <n v="0"/>
    <n v="0"/>
    <n v="0"/>
    <n v="0"/>
    <n v="0"/>
    <n v="1"/>
    <s v="LS"/>
  </r>
  <r>
    <n v="261"/>
    <x v="2"/>
    <x v="1"/>
    <x v="2"/>
    <x v="1"/>
    <n v="33"/>
    <x v="1"/>
    <x v="2"/>
    <x v="6"/>
    <x v="2"/>
    <x v="1"/>
    <s v="11.09.17"/>
    <x v="2"/>
    <x v="5"/>
    <x v="2"/>
    <s v="occasionally"/>
    <n v="3"/>
    <s v="kx w roku"/>
    <x v="2"/>
    <x v="3"/>
    <m/>
    <n v="0"/>
    <n v="0"/>
    <n v="0"/>
    <n v="0"/>
    <n v="0"/>
    <n v="0"/>
    <n v="1"/>
    <n v="0"/>
    <s v="BR"/>
  </r>
  <r>
    <n v="262"/>
    <x v="2"/>
    <x v="1"/>
    <x v="2"/>
    <x v="2"/>
    <n v="25"/>
    <x v="1"/>
    <x v="1"/>
    <x v="1"/>
    <x v="2"/>
    <x v="4"/>
    <s v="11.09.17"/>
    <x v="2"/>
    <x v="6"/>
    <x v="2"/>
    <s v="regularly"/>
    <n v="4"/>
    <s v="2x w mies"/>
    <x v="3"/>
    <x v="3"/>
    <m/>
    <n v="0"/>
    <n v="0"/>
    <n v="0"/>
    <n v="1"/>
    <n v="0"/>
    <n v="0"/>
    <n v="0"/>
    <n v="0"/>
    <s v="O"/>
  </r>
  <r>
    <n v="263"/>
    <x v="2"/>
    <x v="1"/>
    <x v="2"/>
    <x v="2"/>
    <n v="29"/>
    <x v="5"/>
    <x v="1"/>
    <x v="6"/>
    <x v="1"/>
    <x v="4"/>
    <s v="13.09.17"/>
    <x v="2"/>
    <x v="2"/>
    <x v="2"/>
    <s v="rarely"/>
    <n v="2"/>
    <s v="1x w roku"/>
    <x v="5"/>
    <x v="3"/>
    <s v="U7"/>
    <n v="0"/>
    <n v="0"/>
    <n v="1"/>
    <n v="0"/>
    <n v="0"/>
    <n v="0"/>
    <n v="0"/>
    <n v="0"/>
    <s v="lubi 7"/>
  </r>
  <r>
    <n v="264"/>
    <x v="2"/>
    <x v="1"/>
    <x v="2"/>
    <x v="2"/>
    <n v="27"/>
    <x v="1"/>
    <x v="2"/>
    <x v="6"/>
    <x v="1"/>
    <x v="4"/>
    <s v="13.09.17"/>
    <x v="2"/>
    <x v="6"/>
    <x v="2"/>
    <s v="always"/>
    <n v="5"/>
    <s v="1x w tyg"/>
    <x v="1"/>
    <x v="3"/>
    <m/>
    <n v="1"/>
    <n v="0"/>
    <n v="0"/>
    <n v="0"/>
    <n v="0"/>
    <n v="0"/>
    <n v="0"/>
    <n v="0"/>
    <s v="BL"/>
  </r>
  <r>
    <n v="265"/>
    <x v="2"/>
    <x v="1"/>
    <x v="2"/>
    <x v="2"/>
    <n v="59"/>
    <x v="1"/>
    <x v="1"/>
    <x v="1"/>
    <x v="1"/>
    <x v="3"/>
    <s v="11.09.17"/>
    <x v="2"/>
    <x v="5"/>
    <x v="2"/>
    <s v="regularly"/>
    <n v="4"/>
    <s v="1x w mies"/>
    <x v="4"/>
    <x v="3"/>
    <m/>
    <n v="0"/>
    <n v="1"/>
    <n v="0"/>
    <n v="0"/>
    <n v="0"/>
    <n v="0"/>
    <n v="0"/>
    <n v="0"/>
    <s v="WJ"/>
  </r>
  <r>
    <n v="266"/>
    <x v="2"/>
    <x v="1"/>
    <x v="1"/>
    <x v="2"/>
    <n v="20"/>
    <x v="5"/>
    <x v="1"/>
    <x v="6"/>
    <x v="2"/>
    <x v="3"/>
    <s v="11.09.17"/>
    <x v="1"/>
    <x v="6"/>
    <x v="2"/>
    <s v="never"/>
    <n v="1"/>
    <s v="nie"/>
    <x v="3"/>
    <x v="3"/>
    <m/>
    <n v="0"/>
    <n v="0"/>
    <n v="0"/>
    <n v="1"/>
    <n v="0"/>
    <n v="0"/>
    <n v="0"/>
    <n v="0"/>
    <s v="O"/>
  </r>
  <r>
    <n v="267"/>
    <x v="2"/>
    <x v="1"/>
    <x v="1"/>
    <x v="1"/>
    <n v="37"/>
    <x v="5"/>
    <x v="1"/>
    <x v="6"/>
    <x v="2"/>
    <x v="4"/>
    <s v="11.09.17"/>
    <x v="1"/>
    <x v="5"/>
    <x v="2"/>
    <s v="occasionally"/>
    <n v="3"/>
    <s v="kx w roku"/>
    <x v="3"/>
    <x v="9"/>
    <m/>
    <n v="0"/>
    <n v="1"/>
    <n v="0"/>
    <n v="1"/>
    <n v="0"/>
    <n v="0"/>
    <n v="0"/>
    <n v="0"/>
    <s v="bez różnicy mu, bo to samo"/>
  </r>
  <r>
    <n v="268"/>
    <x v="2"/>
    <x v="1"/>
    <x v="1"/>
    <x v="2"/>
    <n v="21"/>
    <x v="5"/>
    <x v="2"/>
    <x v="1"/>
    <x v="1"/>
    <x v="1"/>
    <s v="11.09.17"/>
    <x v="2"/>
    <x v="6"/>
    <x v="2"/>
    <s v="never"/>
    <n v="1"/>
    <s v="nie"/>
    <x v="5"/>
    <x v="3"/>
    <m/>
    <n v="0"/>
    <n v="0"/>
    <n v="1"/>
    <n v="0"/>
    <n v="0"/>
    <n v="0"/>
    <n v="0"/>
    <n v="0"/>
    <s v="U"/>
  </r>
  <r>
    <n v="269"/>
    <x v="2"/>
    <x v="1"/>
    <x v="1"/>
    <x v="1"/>
    <n v="62"/>
    <x v="1"/>
    <x v="1"/>
    <x v="1"/>
    <x v="1"/>
    <x v="4"/>
    <s v="11.09.17"/>
    <x v="2"/>
    <x v="5"/>
    <x v="2"/>
    <s v="never"/>
    <n v="1"/>
    <s v="nie"/>
    <x v="1"/>
    <x v="3"/>
    <m/>
    <n v="1"/>
    <n v="0"/>
    <n v="0"/>
    <n v="0"/>
    <n v="0"/>
    <n v="0"/>
    <n v="0"/>
    <n v="0"/>
    <s v="BL"/>
  </r>
  <r>
    <n v="270"/>
    <x v="5"/>
    <x v="2"/>
    <x v="2"/>
    <x v="1"/>
    <n v="30"/>
    <x v="1"/>
    <x v="1"/>
    <x v="1"/>
    <x v="2"/>
    <x v="1"/>
    <s v="11.09.17"/>
    <x v="1"/>
    <x v="2"/>
    <x v="2"/>
    <s v="regularly"/>
    <n v="4"/>
    <s v="1x w mies"/>
    <x v="4"/>
    <x v="3"/>
    <m/>
    <n v="0"/>
    <n v="1"/>
    <n v="0"/>
    <n v="0"/>
    <n v="0"/>
    <n v="0"/>
    <n v="0"/>
    <n v="0"/>
    <s v="WJ"/>
  </r>
  <r>
    <n v="271"/>
    <x v="5"/>
    <x v="2"/>
    <x v="2"/>
    <x v="2"/>
    <n v="66"/>
    <x v="1"/>
    <x v="1"/>
    <x v="1"/>
    <x v="2"/>
    <x v="4"/>
    <s v="11.09.17"/>
    <x v="1"/>
    <x v="5"/>
    <x v="2"/>
    <s v="always"/>
    <n v="5"/>
    <s v="regularnie co tydzień"/>
    <x v="8"/>
    <x v="3"/>
    <m/>
    <n v="0"/>
    <n v="0"/>
    <n v="0"/>
    <n v="0"/>
    <n v="0"/>
    <n v="1"/>
    <n v="0"/>
    <n v="0"/>
    <s v="WP"/>
  </r>
  <r>
    <n v="272"/>
    <x v="5"/>
    <x v="2"/>
    <x v="2"/>
    <x v="1"/>
    <n v="63"/>
    <x v="2"/>
    <x v="1"/>
    <x v="7"/>
    <x v="2"/>
    <x v="1"/>
    <s v="11.09.17"/>
    <x v="1"/>
    <x v="5"/>
    <x v="2"/>
    <s v="always"/>
    <n v="5"/>
    <s v="regularnie co tydzień"/>
    <x v="3"/>
    <x v="3"/>
    <m/>
    <n v="0"/>
    <n v="0"/>
    <n v="0"/>
    <n v="1"/>
    <n v="0"/>
    <n v="0"/>
    <n v="0"/>
    <n v="0"/>
    <s v="O"/>
  </r>
  <r>
    <n v="273"/>
    <x v="5"/>
    <x v="2"/>
    <x v="2"/>
    <x v="1"/>
    <n v="20"/>
    <x v="1"/>
    <x v="1"/>
    <x v="1"/>
    <x v="1"/>
    <x v="1"/>
    <s v="11.09.17"/>
    <x v="1"/>
    <x v="2"/>
    <x v="2"/>
    <s v="never"/>
    <n v="1"/>
    <s v="nigdy"/>
    <x v="1"/>
    <x v="3"/>
    <m/>
    <n v="1"/>
    <n v="0"/>
    <n v="0"/>
    <n v="0"/>
    <n v="0"/>
    <n v="0"/>
    <n v="0"/>
    <n v="0"/>
    <s v="BL"/>
  </r>
  <r>
    <n v="274"/>
    <x v="5"/>
    <x v="2"/>
    <x v="2"/>
    <x v="1"/>
    <n v="23"/>
    <x v="2"/>
    <x v="2"/>
    <x v="1"/>
    <x v="1"/>
    <x v="1"/>
    <s v="11.09.17"/>
    <x v="1"/>
    <x v="5"/>
    <x v="2"/>
    <s v="regularly"/>
    <n v="4"/>
    <s v="2x w mies"/>
    <x v="6"/>
    <x v="3"/>
    <m/>
    <n v="0"/>
    <n v="0"/>
    <n v="0"/>
    <n v="0"/>
    <n v="0"/>
    <n v="0"/>
    <n v="0"/>
    <n v="1"/>
    <s v="LS"/>
  </r>
  <r>
    <n v="275"/>
    <x v="5"/>
    <x v="2"/>
    <x v="1"/>
    <x v="2"/>
    <n v="22"/>
    <x v="1"/>
    <x v="1"/>
    <x v="1"/>
    <x v="2"/>
    <x v="1"/>
    <s v="12.09.17"/>
    <x v="1"/>
    <x v="5"/>
    <x v="2"/>
    <s v="never"/>
    <n v="1"/>
    <s v="nigdy"/>
    <x v="5"/>
    <x v="3"/>
    <m/>
    <n v="0"/>
    <n v="0"/>
    <n v="1"/>
    <n v="0"/>
    <n v="0"/>
    <n v="0"/>
    <n v="0"/>
    <n v="0"/>
    <s v="bo są szczęśliwe liczby"/>
  </r>
  <r>
    <n v="276"/>
    <x v="5"/>
    <x v="2"/>
    <x v="1"/>
    <x v="1"/>
    <n v="24"/>
    <x v="2"/>
    <x v="1"/>
    <x v="7"/>
    <x v="2"/>
    <x v="1"/>
    <s v="12.09.17"/>
    <x v="1"/>
    <x v="5"/>
    <x v="2"/>
    <s v="never"/>
    <n v="1"/>
    <s v="nie"/>
    <x v="3"/>
    <x v="3"/>
    <m/>
    <n v="0"/>
    <n v="0"/>
    <n v="0"/>
    <n v="1"/>
    <n v="0"/>
    <n v="0"/>
    <n v="0"/>
    <n v="0"/>
    <s v="O"/>
  </r>
  <r>
    <n v="277"/>
    <x v="5"/>
    <x v="2"/>
    <x v="1"/>
    <x v="1"/>
    <n v="36"/>
    <x v="1"/>
    <x v="1"/>
    <x v="1"/>
    <x v="1"/>
    <x v="1"/>
    <s v="12.09.17"/>
    <x v="1"/>
    <x v="5"/>
    <x v="2"/>
    <s v="regularly"/>
    <n v="4"/>
    <s v="2-3x w mies"/>
    <x v="3"/>
    <x v="3"/>
    <m/>
    <n v="0"/>
    <n v="0"/>
    <n v="0"/>
    <n v="1"/>
    <n v="0"/>
    <n v="0"/>
    <n v="0"/>
    <n v="0"/>
    <s v="O"/>
  </r>
  <r>
    <n v="278"/>
    <x v="5"/>
    <x v="2"/>
    <x v="1"/>
    <x v="1"/>
    <n v="55"/>
    <x v="2"/>
    <x v="1"/>
    <x v="7"/>
    <x v="1"/>
    <x v="4"/>
    <s v="12.09.17"/>
    <x v="1"/>
    <x v="5"/>
    <x v="2"/>
    <s v="always"/>
    <n v="5"/>
    <s v="1x w tyg"/>
    <x v="5"/>
    <x v="3"/>
    <m/>
    <n v="0"/>
    <n v="0"/>
    <n v="1"/>
    <n v="0"/>
    <n v="0"/>
    <n v="0"/>
    <n v="0"/>
    <n v="0"/>
    <s v="U"/>
  </r>
  <r>
    <n v="279"/>
    <x v="5"/>
    <x v="2"/>
    <x v="1"/>
    <x v="2"/>
    <n v="64"/>
    <x v="1"/>
    <x v="1"/>
    <x v="1"/>
    <x v="1"/>
    <x v="1"/>
    <s v="11.09.17"/>
    <x v="2"/>
    <x v="5"/>
    <x v="2"/>
    <s v="never"/>
    <n v="1"/>
    <s v="nie"/>
    <x v="1"/>
    <x v="3"/>
    <m/>
    <n v="1"/>
    <n v="0"/>
    <n v="0"/>
    <n v="0"/>
    <n v="0"/>
    <n v="0"/>
    <n v="0"/>
    <n v="0"/>
    <s v="BL"/>
  </r>
  <r>
    <n v="280"/>
    <x v="5"/>
    <x v="1"/>
    <x v="2"/>
    <x v="1"/>
    <n v="23"/>
    <x v="2"/>
    <x v="2"/>
    <x v="1"/>
    <x v="2"/>
    <x v="1"/>
    <s v="12.09.17"/>
    <x v="1"/>
    <x v="6"/>
    <x v="2"/>
    <s v="rarely"/>
    <n v="2"/>
    <s v="2x w roku"/>
    <x v="4"/>
    <x v="3"/>
    <m/>
    <n v="0"/>
    <n v="1"/>
    <n v="0"/>
    <n v="0"/>
    <n v="0"/>
    <n v="0"/>
    <n v="0"/>
    <n v="0"/>
    <s v="WJ"/>
  </r>
  <r>
    <n v="281"/>
    <x v="5"/>
    <x v="1"/>
    <x v="2"/>
    <x v="2"/>
    <n v="21"/>
    <x v="2"/>
    <x v="2"/>
    <x v="1"/>
    <x v="2"/>
    <x v="1"/>
    <s v="11.09.17"/>
    <x v="2"/>
    <x v="6"/>
    <x v="2"/>
    <s v="never"/>
    <n v="1"/>
    <s v="nie"/>
    <x v="4"/>
    <x v="3"/>
    <m/>
    <n v="0"/>
    <n v="1"/>
    <n v="0"/>
    <n v="0"/>
    <n v="0"/>
    <n v="0"/>
    <n v="0"/>
    <n v="0"/>
    <s v="WJ"/>
  </r>
  <r>
    <n v="282"/>
    <x v="5"/>
    <x v="1"/>
    <x v="2"/>
    <x v="1"/>
    <n v="19"/>
    <x v="2"/>
    <x v="2"/>
    <x v="1"/>
    <x v="2"/>
    <x v="1"/>
    <s v="13.09.17"/>
    <x v="2"/>
    <x v="2"/>
    <x v="2"/>
    <s v="rarely"/>
    <n v="2"/>
    <s v="1x w roku"/>
    <x v="5"/>
    <x v="3"/>
    <m/>
    <n v="0"/>
    <n v="0"/>
    <n v="1"/>
    <n v="0"/>
    <n v="0"/>
    <n v="0"/>
    <n v="0"/>
    <n v="0"/>
    <s v="U"/>
  </r>
  <r>
    <n v="283"/>
    <x v="5"/>
    <x v="1"/>
    <x v="2"/>
    <x v="1"/>
    <n v="35"/>
    <x v="2"/>
    <x v="2"/>
    <x v="1"/>
    <x v="1"/>
    <x v="1"/>
    <s v="11.09.17"/>
    <x v="2"/>
    <x v="6"/>
    <x v="2"/>
    <s v="never"/>
    <n v="1"/>
    <s v="nie"/>
    <x v="3"/>
    <x v="3"/>
    <m/>
    <n v="0"/>
    <n v="0"/>
    <n v="0"/>
    <n v="1"/>
    <n v="0"/>
    <n v="0"/>
    <n v="0"/>
    <n v="0"/>
    <s v="O"/>
  </r>
  <r>
    <n v="284"/>
    <x v="5"/>
    <x v="1"/>
    <x v="2"/>
    <x v="2"/>
    <n v="18"/>
    <x v="1"/>
    <x v="1"/>
    <x v="1"/>
    <x v="1"/>
    <x v="4"/>
    <s v="13.09.17"/>
    <x v="2"/>
    <x v="2"/>
    <x v="2"/>
    <s v="occasionally"/>
    <n v="3"/>
    <s v="2-4x w roku"/>
    <x v="3"/>
    <x v="3"/>
    <m/>
    <n v="0"/>
    <n v="0"/>
    <n v="0"/>
    <n v="1"/>
    <n v="0"/>
    <n v="0"/>
    <n v="0"/>
    <n v="0"/>
    <s v="O"/>
  </r>
  <r>
    <n v="285"/>
    <x v="1"/>
    <x v="2"/>
    <x v="2"/>
    <x v="2"/>
    <n v="26"/>
    <x v="1"/>
    <x v="1"/>
    <x v="1"/>
    <x v="2"/>
    <x v="4"/>
    <s v="11.09.17"/>
    <x v="1"/>
    <x v="5"/>
    <x v="2"/>
    <s v="regularly"/>
    <n v="4"/>
    <s v="1x w mies w Lotto"/>
    <x v="1"/>
    <x v="3"/>
    <m/>
    <n v="1"/>
    <n v="0"/>
    <n v="0"/>
    <n v="0"/>
    <n v="0"/>
    <n v="0"/>
    <n v="0"/>
    <n v="0"/>
    <s v="BL"/>
  </r>
  <r>
    <n v="286"/>
    <x v="1"/>
    <x v="2"/>
    <x v="2"/>
    <x v="2"/>
    <n v="24"/>
    <x v="1"/>
    <x v="1"/>
    <x v="1"/>
    <x v="2"/>
    <x v="3"/>
    <s v="11.09.17"/>
    <x v="1"/>
    <x v="5"/>
    <x v="2"/>
    <s v="occasionally"/>
    <n v="3"/>
    <s v="kx w roku"/>
    <x v="1"/>
    <x v="3"/>
    <m/>
    <n v="1"/>
    <n v="0"/>
    <n v="0"/>
    <n v="0"/>
    <n v="0"/>
    <n v="0"/>
    <n v="0"/>
    <n v="0"/>
    <s v="BL"/>
  </r>
  <r>
    <n v="287"/>
    <x v="1"/>
    <x v="2"/>
    <x v="2"/>
    <x v="2"/>
    <n v="26"/>
    <x v="1"/>
    <x v="1"/>
    <x v="1"/>
    <x v="2"/>
    <x v="4"/>
    <s v="11.09.17"/>
    <x v="2"/>
    <x v="5"/>
    <x v="2"/>
    <s v="never"/>
    <n v="1"/>
    <s v="nie"/>
    <x v="1"/>
    <x v="3"/>
    <m/>
    <n v="1"/>
    <n v="0"/>
    <n v="0"/>
    <n v="0"/>
    <n v="0"/>
    <n v="0"/>
    <n v="0"/>
    <n v="0"/>
    <s v="BL"/>
  </r>
  <r>
    <n v="288"/>
    <x v="1"/>
    <x v="2"/>
    <x v="2"/>
    <x v="2"/>
    <n v="21"/>
    <x v="1"/>
    <x v="1"/>
    <x v="1"/>
    <x v="2"/>
    <x v="3"/>
    <s v="11.09.17"/>
    <x v="2"/>
    <x v="5"/>
    <x v="2"/>
    <s v="never"/>
    <n v="1"/>
    <s v="nigdy"/>
    <x v="1"/>
    <x v="3"/>
    <m/>
    <n v="1"/>
    <n v="0"/>
    <n v="0"/>
    <n v="0"/>
    <n v="0"/>
    <n v="0"/>
    <n v="0"/>
    <n v="0"/>
    <s v="BL"/>
  </r>
  <r>
    <n v="289"/>
    <x v="1"/>
    <x v="2"/>
    <x v="1"/>
    <x v="1"/>
    <n v="30"/>
    <x v="7"/>
    <x v="1"/>
    <x v="3"/>
    <x v="1"/>
    <x v="4"/>
    <s v="12.09.17"/>
    <x v="1"/>
    <x v="6"/>
    <x v="2"/>
    <s v="regularly"/>
    <n v="4"/>
    <s v="1x w mies"/>
    <x v="3"/>
    <x v="3"/>
    <m/>
    <n v="0"/>
    <n v="0"/>
    <n v="0"/>
    <n v="1"/>
    <n v="0"/>
    <n v="0"/>
    <n v="0"/>
    <n v="0"/>
    <s v="O"/>
  </r>
  <r>
    <n v="290"/>
    <x v="1"/>
    <x v="2"/>
    <x v="1"/>
    <x v="1"/>
    <n v="35"/>
    <x v="7"/>
    <x v="1"/>
    <x v="3"/>
    <x v="2"/>
    <x v="1"/>
    <s v="11.09.17"/>
    <x v="2"/>
    <x v="6"/>
    <x v="2"/>
    <s v="never"/>
    <n v="1"/>
    <s v="nie"/>
    <x v="4"/>
    <x v="3"/>
    <m/>
    <n v="0"/>
    <n v="1"/>
    <n v="0"/>
    <n v="0"/>
    <n v="0"/>
    <n v="0"/>
    <n v="0"/>
    <n v="0"/>
    <s v="WJ"/>
  </r>
  <r>
    <n v="291"/>
    <x v="1"/>
    <x v="2"/>
    <x v="1"/>
    <x v="2"/>
    <n v="63"/>
    <x v="7"/>
    <x v="1"/>
    <x v="3"/>
    <x v="2"/>
    <x v="3"/>
    <s v="11.09.17"/>
    <x v="2"/>
    <x v="5"/>
    <x v="2"/>
    <s v="rarely"/>
    <n v="2"/>
    <s v="1x w roku"/>
    <x v="3"/>
    <x v="3"/>
    <m/>
    <n v="0"/>
    <n v="0"/>
    <n v="0"/>
    <n v="1"/>
    <n v="0"/>
    <n v="0"/>
    <n v="0"/>
    <n v="0"/>
    <s v="O"/>
  </r>
  <r>
    <n v="292"/>
    <x v="1"/>
    <x v="2"/>
    <x v="1"/>
    <x v="2"/>
    <n v="49"/>
    <x v="1"/>
    <x v="1"/>
    <x v="1"/>
    <x v="1"/>
    <x v="4"/>
    <s v="11.09.17"/>
    <x v="2"/>
    <x v="5"/>
    <x v="2"/>
    <s v="always"/>
    <n v="5"/>
    <s v="1x w tyg"/>
    <x v="1"/>
    <x v="3"/>
    <m/>
    <n v="1"/>
    <n v="0"/>
    <n v="0"/>
    <n v="0"/>
    <n v="0"/>
    <n v="0"/>
    <n v="0"/>
    <n v="0"/>
    <s v="BL"/>
  </r>
  <r>
    <n v="293"/>
    <x v="1"/>
    <x v="1"/>
    <x v="2"/>
    <x v="1"/>
    <n v="26"/>
    <x v="7"/>
    <x v="1"/>
    <x v="3"/>
    <x v="2"/>
    <x v="4"/>
    <s v="11.09.17"/>
    <x v="1"/>
    <x v="5"/>
    <x v="2"/>
    <s v="never"/>
    <n v="1"/>
    <s v="nie"/>
    <x v="5"/>
    <x v="3"/>
    <m/>
    <n v="0"/>
    <n v="0"/>
    <n v="1"/>
    <n v="0"/>
    <n v="0"/>
    <n v="0"/>
    <n v="0"/>
    <n v="0"/>
    <s v="U"/>
  </r>
  <r>
    <n v="294"/>
    <x v="1"/>
    <x v="1"/>
    <x v="2"/>
    <x v="2"/>
    <n v="35"/>
    <x v="7"/>
    <x v="1"/>
    <x v="3"/>
    <x v="2"/>
    <x v="3"/>
    <s v="11.09.17"/>
    <x v="1"/>
    <x v="5"/>
    <x v="2"/>
    <s v="rarely"/>
    <n v="2"/>
    <s v="1x w roku"/>
    <x v="6"/>
    <x v="3"/>
    <m/>
    <n v="0"/>
    <n v="0"/>
    <n v="0"/>
    <n v="0"/>
    <n v="0"/>
    <n v="0"/>
    <n v="0"/>
    <n v="1"/>
    <s v="LS"/>
  </r>
  <r>
    <n v="295"/>
    <x v="1"/>
    <x v="1"/>
    <x v="2"/>
    <x v="2"/>
    <n v="18"/>
    <x v="1"/>
    <x v="1"/>
    <x v="1"/>
    <x v="2"/>
    <x v="3"/>
    <s v="13.09.17"/>
    <x v="2"/>
    <x v="6"/>
    <x v="2"/>
    <s v="never"/>
    <n v="1"/>
    <s v="nie"/>
    <x v="1"/>
    <x v="3"/>
    <m/>
    <n v="1"/>
    <n v="0"/>
    <n v="0"/>
    <n v="0"/>
    <n v="0"/>
    <n v="0"/>
    <n v="0"/>
    <n v="0"/>
    <s v="BL"/>
  </r>
  <r>
    <n v="296"/>
    <x v="1"/>
    <x v="1"/>
    <x v="2"/>
    <x v="2"/>
    <n v="53"/>
    <x v="1"/>
    <x v="1"/>
    <x v="1"/>
    <x v="2"/>
    <x v="1"/>
    <s v="11.09.17"/>
    <x v="2"/>
    <x v="5"/>
    <x v="2"/>
    <s v="rarely"/>
    <n v="2"/>
    <s v="raz grała"/>
    <x v="4"/>
    <x v="3"/>
    <m/>
    <n v="0"/>
    <n v="1"/>
    <n v="0"/>
    <n v="0"/>
    <n v="0"/>
    <n v="0"/>
    <n v="0"/>
    <n v="0"/>
    <s v="WJ"/>
  </r>
  <r>
    <n v="297"/>
    <x v="1"/>
    <x v="1"/>
    <x v="2"/>
    <x v="1"/>
    <n v="65"/>
    <x v="1"/>
    <x v="1"/>
    <x v="1"/>
    <x v="1"/>
    <x v="3"/>
    <s v="11.09.17"/>
    <x v="2"/>
    <x v="5"/>
    <x v="2"/>
    <s v="never"/>
    <n v="1"/>
    <s v="nie"/>
    <x v="3"/>
    <x v="3"/>
    <m/>
    <n v="0"/>
    <n v="0"/>
    <n v="0"/>
    <n v="1"/>
    <n v="0"/>
    <n v="0"/>
    <n v="0"/>
    <n v="0"/>
    <s v="O"/>
  </r>
  <r>
    <n v="298"/>
    <x v="1"/>
    <x v="1"/>
    <x v="2"/>
    <x v="2"/>
    <n v="45"/>
    <x v="1"/>
    <x v="1"/>
    <x v="1"/>
    <x v="1"/>
    <x v="3"/>
    <s v="11.09.17"/>
    <x v="2"/>
    <x v="5"/>
    <x v="2"/>
    <s v="occasionally"/>
    <n v="3"/>
    <s v="kx w roku"/>
    <x v="3"/>
    <x v="3"/>
    <m/>
    <n v="0"/>
    <n v="0"/>
    <n v="0"/>
    <n v="1"/>
    <n v="0"/>
    <n v="0"/>
    <n v="0"/>
    <n v="0"/>
    <s v="O"/>
  </r>
  <r>
    <n v="299"/>
    <x v="1"/>
    <x v="1"/>
    <x v="1"/>
    <x v="1"/>
    <n v="19"/>
    <x v="7"/>
    <x v="2"/>
    <x v="1"/>
    <x v="2"/>
    <x v="4"/>
    <s v="13.09.17"/>
    <x v="2"/>
    <x v="6"/>
    <x v="2"/>
    <s v="never"/>
    <n v="1"/>
    <s v="nie"/>
    <x v="6"/>
    <x v="3"/>
    <m/>
    <n v="0"/>
    <n v="0"/>
    <n v="0"/>
    <n v="0"/>
    <n v="0"/>
    <n v="0"/>
    <n v="0"/>
    <n v="1"/>
    <s v="ładnie po kolei"/>
  </r>
  <r>
    <n v="300"/>
    <x v="1"/>
    <x v="1"/>
    <x v="1"/>
    <x v="2"/>
    <n v="29"/>
    <x v="7"/>
    <x v="1"/>
    <x v="3"/>
    <x v="1"/>
    <x v="4"/>
    <s v="13.09.17"/>
    <x v="2"/>
    <x v="6"/>
    <x v="2"/>
    <s v="never"/>
    <n v="1"/>
    <s v="nie"/>
    <x v="8"/>
    <x v="3"/>
    <m/>
    <n v="0"/>
    <n v="0"/>
    <n v="0"/>
    <n v="0"/>
    <n v="0"/>
    <n v="1"/>
    <n v="0"/>
    <n v="0"/>
    <s v="WP"/>
  </r>
  <r>
    <n v="301"/>
    <x v="1"/>
    <x v="1"/>
    <x v="1"/>
    <x v="1"/>
    <n v="29"/>
    <x v="7"/>
    <x v="1"/>
    <x v="3"/>
    <x v="1"/>
    <x v="3"/>
    <s v="13.09.17"/>
    <x v="2"/>
    <x v="5"/>
    <x v="2"/>
    <s v="never"/>
    <n v="1"/>
    <s v="nie"/>
    <x v="6"/>
    <x v="3"/>
    <m/>
    <n v="0"/>
    <n v="0"/>
    <n v="0"/>
    <n v="0"/>
    <n v="0"/>
    <n v="0"/>
    <n v="0"/>
    <n v="1"/>
    <s v="LS"/>
  </r>
  <r>
    <n v="302"/>
    <x v="3"/>
    <x v="2"/>
    <x v="2"/>
    <x v="2"/>
    <n v="24"/>
    <x v="1"/>
    <x v="1"/>
    <x v="1"/>
    <x v="1"/>
    <x v="1"/>
    <s v="12.09.17"/>
    <x v="1"/>
    <x v="5"/>
    <x v="2"/>
    <s v="never"/>
    <n v="1"/>
    <s v="nie"/>
    <x v="4"/>
    <x v="3"/>
    <m/>
    <n v="0"/>
    <n v="1"/>
    <n v="0"/>
    <n v="0"/>
    <n v="0"/>
    <n v="0"/>
    <n v="0"/>
    <n v="0"/>
    <s v="WJ"/>
  </r>
  <r>
    <n v="303"/>
    <x v="3"/>
    <x v="2"/>
    <x v="2"/>
    <x v="2"/>
    <n v="28"/>
    <x v="1"/>
    <x v="1"/>
    <x v="1"/>
    <x v="1"/>
    <x v="4"/>
    <s v="12.09.17"/>
    <x v="1"/>
    <x v="5"/>
    <x v="2"/>
    <s v="rarely"/>
    <n v="2"/>
    <s v="1-2x w roku"/>
    <x v="1"/>
    <x v="3"/>
    <m/>
    <n v="1"/>
    <n v="0"/>
    <n v="0"/>
    <n v="0"/>
    <n v="0"/>
    <n v="0"/>
    <n v="0"/>
    <n v="0"/>
    <s v="BL"/>
  </r>
  <r>
    <n v="304"/>
    <x v="3"/>
    <x v="2"/>
    <x v="2"/>
    <x v="2"/>
    <n v="34"/>
    <x v="1"/>
    <x v="1"/>
    <x v="1"/>
    <x v="1"/>
    <x v="2"/>
    <s v="12.09.17"/>
    <x v="1"/>
    <x v="5"/>
    <x v="2"/>
    <s v="never"/>
    <n v="1"/>
    <s v="nie"/>
    <x v="1"/>
    <x v="3"/>
    <m/>
    <n v="1"/>
    <n v="0"/>
    <n v="0"/>
    <n v="0"/>
    <n v="0"/>
    <n v="0"/>
    <n v="0"/>
    <n v="0"/>
    <s v="BL"/>
  </r>
  <r>
    <n v="305"/>
    <x v="3"/>
    <x v="2"/>
    <x v="2"/>
    <x v="2"/>
    <n v="72"/>
    <x v="1"/>
    <x v="1"/>
    <x v="1"/>
    <x v="2"/>
    <x v="3"/>
    <s v="11.09.17"/>
    <x v="2"/>
    <x v="5"/>
    <x v="2"/>
    <s v="never"/>
    <n v="1"/>
    <s v="nie"/>
    <x v="3"/>
    <x v="3"/>
    <m/>
    <n v="0"/>
    <n v="0"/>
    <n v="0"/>
    <n v="1"/>
    <n v="0"/>
    <n v="0"/>
    <n v="0"/>
    <n v="0"/>
    <s v="O"/>
  </r>
  <r>
    <n v="306"/>
    <x v="3"/>
    <x v="2"/>
    <x v="2"/>
    <x v="2"/>
    <n v="21"/>
    <x v="6"/>
    <x v="1"/>
    <x v="2"/>
    <x v="2"/>
    <x v="4"/>
    <s v="11.09.17"/>
    <x v="2"/>
    <x v="5"/>
    <x v="2"/>
    <s v="never"/>
    <n v="1"/>
    <s v="nie"/>
    <x v="4"/>
    <x v="3"/>
    <m/>
    <n v="0"/>
    <n v="1"/>
    <n v="0"/>
    <n v="0"/>
    <n v="0"/>
    <n v="0"/>
    <n v="0"/>
    <n v="0"/>
    <s v="WJ"/>
  </r>
  <r>
    <n v="307"/>
    <x v="3"/>
    <x v="2"/>
    <x v="1"/>
    <x v="1"/>
    <n v="19"/>
    <x v="1"/>
    <x v="1"/>
    <x v="1"/>
    <x v="2"/>
    <x v="1"/>
    <s v="11.09.17"/>
    <x v="1"/>
    <x v="2"/>
    <x v="2"/>
    <s v="never"/>
    <n v="1"/>
    <s v="nie"/>
    <x v="1"/>
    <x v="3"/>
    <m/>
    <n v="1"/>
    <n v="0"/>
    <n v="0"/>
    <n v="0"/>
    <n v="0"/>
    <n v="0"/>
    <n v="0"/>
    <n v="0"/>
    <s v="BL"/>
  </r>
  <r>
    <n v="308"/>
    <x v="3"/>
    <x v="2"/>
    <x v="1"/>
    <x v="2"/>
    <n v="22"/>
    <x v="6"/>
    <x v="1"/>
    <x v="2"/>
    <x v="2"/>
    <x v="4"/>
    <s v="13.09.17"/>
    <x v="2"/>
    <x v="2"/>
    <x v="2"/>
    <s v="never"/>
    <n v="1"/>
    <s v="nie"/>
    <x v="8"/>
    <x v="3"/>
    <m/>
    <n v="0"/>
    <n v="0"/>
    <n v="0"/>
    <n v="0"/>
    <n v="0"/>
    <n v="1"/>
    <n v="0"/>
    <n v="0"/>
    <s v="bo lepsze liczby"/>
  </r>
  <r>
    <n v="309"/>
    <x v="3"/>
    <x v="2"/>
    <x v="1"/>
    <x v="2"/>
    <n v="62"/>
    <x v="6"/>
    <x v="1"/>
    <x v="2"/>
    <x v="2"/>
    <x v="1"/>
    <s v="13.09.17"/>
    <x v="2"/>
    <x v="5"/>
    <x v="2"/>
    <s v="never"/>
    <n v="1"/>
    <s v="nie"/>
    <x v="6"/>
    <x v="3"/>
    <m/>
    <n v="0"/>
    <n v="0"/>
    <n v="0"/>
    <n v="0"/>
    <n v="0"/>
    <n v="0"/>
    <n v="0"/>
    <n v="1"/>
    <s v="LS"/>
  </r>
  <r>
    <n v="310"/>
    <x v="3"/>
    <x v="2"/>
    <x v="1"/>
    <x v="1"/>
    <n v="19"/>
    <x v="1"/>
    <x v="1"/>
    <x v="1"/>
    <x v="1"/>
    <x v="1"/>
    <s v="13.09.17"/>
    <x v="2"/>
    <x v="2"/>
    <x v="2"/>
    <s v="never"/>
    <n v="1"/>
    <s v="nie"/>
    <x v="1"/>
    <x v="3"/>
    <m/>
    <n v="1"/>
    <n v="0"/>
    <n v="0"/>
    <n v="0"/>
    <n v="0"/>
    <n v="0"/>
    <n v="0"/>
    <n v="0"/>
    <s v="BL"/>
  </r>
  <r>
    <n v="311"/>
    <x v="3"/>
    <x v="2"/>
    <x v="1"/>
    <x v="1"/>
    <n v="24"/>
    <x v="1"/>
    <x v="1"/>
    <x v="1"/>
    <x v="1"/>
    <x v="3"/>
    <s v="13.09.17"/>
    <x v="2"/>
    <x v="5"/>
    <x v="2"/>
    <s v="occasionally"/>
    <n v="3"/>
    <s v="kx w roku"/>
    <x v="1"/>
    <x v="3"/>
    <m/>
    <n v="1"/>
    <n v="0"/>
    <n v="0"/>
    <n v="0"/>
    <n v="0"/>
    <n v="0"/>
    <n v="0"/>
    <n v="0"/>
    <s v="BL"/>
  </r>
  <r>
    <n v="312"/>
    <x v="3"/>
    <x v="1"/>
    <x v="2"/>
    <x v="2"/>
    <n v="22"/>
    <x v="1"/>
    <x v="1"/>
    <x v="1"/>
    <x v="1"/>
    <x v="1"/>
    <s v="11.09.17"/>
    <x v="1"/>
    <x v="6"/>
    <x v="2"/>
    <s v="occasionally"/>
    <n v="3"/>
    <s v="6x w roku"/>
    <x v="3"/>
    <x v="3"/>
    <m/>
    <n v="0"/>
    <n v="0"/>
    <n v="0"/>
    <n v="1"/>
    <n v="0"/>
    <n v="0"/>
    <n v="0"/>
    <n v="0"/>
    <s v="O"/>
  </r>
  <r>
    <n v="313"/>
    <x v="3"/>
    <x v="1"/>
    <x v="2"/>
    <x v="2"/>
    <n v="48"/>
    <x v="1"/>
    <x v="1"/>
    <x v="1"/>
    <x v="1"/>
    <x v="1"/>
    <s v="12.09.17"/>
    <x v="1"/>
    <x v="5"/>
    <x v="2"/>
    <s v="always"/>
    <n v="5"/>
    <s v="codziennie"/>
    <x v="1"/>
    <x v="3"/>
    <m/>
    <n v="1"/>
    <n v="0"/>
    <n v="0"/>
    <n v="0"/>
    <n v="0"/>
    <n v="0"/>
    <n v="0"/>
    <n v="0"/>
    <s v="BL"/>
  </r>
  <r>
    <n v="314"/>
    <x v="3"/>
    <x v="1"/>
    <x v="2"/>
    <x v="1"/>
    <n v="18"/>
    <x v="1"/>
    <x v="1"/>
    <x v="1"/>
    <x v="2"/>
    <x v="3"/>
    <s v="11.09.17"/>
    <x v="2"/>
    <x v="6"/>
    <x v="2"/>
    <s v="always"/>
    <n v="5"/>
    <s v="1x w tyg"/>
    <x v="1"/>
    <x v="3"/>
    <m/>
    <n v="1"/>
    <n v="0"/>
    <n v="0"/>
    <n v="0"/>
    <n v="0"/>
    <n v="0"/>
    <n v="0"/>
    <n v="0"/>
    <s v="BL"/>
  </r>
  <r>
    <n v="315"/>
    <x v="3"/>
    <x v="1"/>
    <x v="1"/>
    <x v="2"/>
    <n v="22"/>
    <x v="1"/>
    <x v="1"/>
    <x v="1"/>
    <x v="1"/>
    <x v="4"/>
    <s v="11.09.17"/>
    <x v="1"/>
    <x v="6"/>
    <x v="2"/>
    <s v="never"/>
    <n v="1"/>
    <s v="nie"/>
    <x v="1"/>
    <x v="3"/>
    <m/>
    <n v="1"/>
    <n v="0"/>
    <n v="0"/>
    <n v="0"/>
    <n v="0"/>
    <n v="0"/>
    <n v="0"/>
    <n v="0"/>
    <s v="BL"/>
  </r>
  <r>
    <n v="316"/>
    <x v="3"/>
    <x v="1"/>
    <x v="1"/>
    <x v="2"/>
    <n v="52"/>
    <x v="6"/>
    <x v="1"/>
    <x v="2"/>
    <x v="1"/>
    <x v="3"/>
    <s v="12.09.17"/>
    <x v="1"/>
    <x v="5"/>
    <x v="2"/>
    <s v="rarely"/>
    <n v="2"/>
    <s v="1-2x w roku"/>
    <x v="3"/>
    <x v="3"/>
    <m/>
    <n v="0"/>
    <n v="0"/>
    <n v="0"/>
    <n v="1"/>
    <n v="0"/>
    <n v="0"/>
    <n v="0"/>
    <n v="0"/>
    <s v="O"/>
  </r>
  <r>
    <n v="317"/>
    <x v="3"/>
    <x v="1"/>
    <x v="1"/>
    <x v="1"/>
    <n v="18"/>
    <x v="6"/>
    <x v="1"/>
    <x v="2"/>
    <x v="2"/>
    <x v="3"/>
    <s v="11.09.17"/>
    <x v="2"/>
    <x v="6"/>
    <x v="2"/>
    <s v="never"/>
    <n v="1"/>
    <s v="nie"/>
    <x v="3"/>
    <x v="3"/>
    <m/>
    <n v="0"/>
    <n v="0"/>
    <n v="0"/>
    <n v="1"/>
    <n v="0"/>
    <n v="0"/>
    <n v="0"/>
    <n v="0"/>
    <s v="O"/>
  </r>
  <r>
    <n v="318"/>
    <x v="4"/>
    <x v="2"/>
    <x v="2"/>
    <x v="1"/>
    <n v="61"/>
    <x v="4"/>
    <x v="1"/>
    <x v="4"/>
    <x v="2"/>
    <x v="3"/>
    <s v="11.09.17"/>
    <x v="1"/>
    <x v="5"/>
    <x v="2"/>
    <s v="occasionally"/>
    <n v="3"/>
    <s v="kx w roku"/>
    <x v="5"/>
    <x v="3"/>
    <m/>
    <n v="0"/>
    <n v="0"/>
    <n v="1"/>
    <n v="0"/>
    <n v="0"/>
    <n v="0"/>
    <n v="0"/>
    <n v="0"/>
    <s v="U"/>
  </r>
  <r>
    <n v="319"/>
    <x v="4"/>
    <x v="2"/>
    <x v="2"/>
    <x v="1"/>
    <n v="67"/>
    <x v="1"/>
    <x v="2"/>
    <x v="4"/>
    <x v="2"/>
    <x v="4"/>
    <s v="11.09.17"/>
    <x v="1"/>
    <x v="5"/>
    <x v="2"/>
    <s v="regularly"/>
    <n v="4"/>
    <s v="1x w mies"/>
    <x v="2"/>
    <x v="3"/>
    <m/>
    <n v="0"/>
    <n v="0"/>
    <n v="0"/>
    <n v="0"/>
    <n v="0"/>
    <n v="0"/>
    <n v="1"/>
    <n v="0"/>
    <s v="BR"/>
  </r>
  <r>
    <n v="320"/>
    <x v="4"/>
    <x v="2"/>
    <x v="2"/>
    <x v="1"/>
    <n v="22"/>
    <x v="4"/>
    <x v="1"/>
    <x v="4"/>
    <x v="1"/>
    <x v="1"/>
    <s v="11.09.17"/>
    <x v="1"/>
    <x v="5"/>
    <x v="2"/>
    <s v="never"/>
    <n v="1"/>
    <s v="nie"/>
    <x v="3"/>
    <x v="3"/>
    <m/>
    <n v="0"/>
    <n v="0"/>
    <n v="0"/>
    <n v="1"/>
    <n v="0"/>
    <n v="0"/>
    <n v="0"/>
    <n v="0"/>
    <s v="O"/>
  </r>
  <r>
    <n v="321"/>
    <x v="4"/>
    <x v="2"/>
    <x v="2"/>
    <x v="2"/>
    <n v="36"/>
    <x v="1"/>
    <x v="1"/>
    <x v="1"/>
    <x v="1"/>
    <x v="4"/>
    <s v="11.09.17"/>
    <x v="1"/>
    <x v="5"/>
    <x v="2"/>
    <s v="rarely"/>
    <n v="2"/>
    <s v="2x w roku"/>
    <x v="3"/>
    <x v="3"/>
    <m/>
    <n v="0"/>
    <n v="0"/>
    <n v="0"/>
    <n v="1"/>
    <n v="0"/>
    <n v="0"/>
    <n v="0"/>
    <n v="0"/>
    <s v="O"/>
  </r>
  <r>
    <n v="322"/>
    <x v="4"/>
    <x v="2"/>
    <x v="1"/>
    <x v="1"/>
    <n v="19"/>
    <x v="1"/>
    <x v="2"/>
    <x v="4"/>
    <x v="2"/>
    <x v="1"/>
    <s v="11.09.17"/>
    <x v="1"/>
    <x v="2"/>
    <x v="2"/>
    <s v="never"/>
    <n v="1"/>
    <s v="nigdy"/>
    <x v="1"/>
    <x v="3"/>
    <m/>
    <n v="1"/>
    <n v="0"/>
    <n v="0"/>
    <n v="0"/>
    <n v="0"/>
    <n v="0"/>
    <n v="0"/>
    <n v="0"/>
    <s v="BL"/>
  </r>
  <r>
    <n v="323"/>
    <x v="4"/>
    <x v="2"/>
    <x v="1"/>
    <x v="1"/>
    <n v="29"/>
    <x v="1"/>
    <x v="2"/>
    <x v="4"/>
    <x v="2"/>
    <x v="1"/>
    <s v="12.09.17"/>
    <x v="1"/>
    <x v="5"/>
    <x v="2"/>
    <s v="occasionally"/>
    <n v="3"/>
    <s v="kx w roku"/>
    <x v="1"/>
    <x v="3"/>
    <m/>
    <n v="1"/>
    <n v="0"/>
    <n v="0"/>
    <n v="0"/>
    <n v="0"/>
    <n v="0"/>
    <n v="0"/>
    <n v="0"/>
    <s v="BL"/>
  </r>
  <r>
    <n v="324"/>
    <x v="4"/>
    <x v="2"/>
    <x v="1"/>
    <x v="2"/>
    <n v="60"/>
    <x v="1"/>
    <x v="1"/>
    <x v="1"/>
    <x v="1"/>
    <x v="4"/>
    <s v="12.09.17"/>
    <x v="1"/>
    <x v="5"/>
    <x v="2"/>
    <s v="occasionally"/>
    <n v="3"/>
    <s v="2-3x w roku"/>
    <x v="1"/>
    <x v="3"/>
    <m/>
    <n v="1"/>
    <n v="0"/>
    <n v="0"/>
    <n v="0"/>
    <n v="0"/>
    <n v="0"/>
    <n v="0"/>
    <n v="0"/>
    <s v="BL"/>
  </r>
  <r>
    <n v="325"/>
    <x v="4"/>
    <x v="2"/>
    <x v="1"/>
    <x v="2"/>
    <n v="65"/>
    <x v="1"/>
    <x v="1"/>
    <x v="1"/>
    <x v="1"/>
    <x v="3"/>
    <s v="12.09.17"/>
    <x v="1"/>
    <x v="5"/>
    <x v="2"/>
    <s v="always"/>
    <n v="5"/>
    <s v="3-4x w tyg"/>
    <x v="1"/>
    <x v="3"/>
    <m/>
    <n v="1"/>
    <n v="0"/>
    <n v="0"/>
    <n v="0"/>
    <n v="0"/>
    <n v="0"/>
    <n v="0"/>
    <n v="0"/>
    <s v="BL"/>
  </r>
  <r>
    <n v="326"/>
    <x v="4"/>
    <x v="2"/>
    <x v="1"/>
    <x v="1"/>
    <n v="21"/>
    <x v="1"/>
    <x v="1"/>
    <x v="1"/>
    <x v="1"/>
    <x v="1"/>
    <s v="13.09.17"/>
    <x v="2"/>
    <x v="2"/>
    <x v="2"/>
    <s v="never"/>
    <n v="1"/>
    <s v="nie"/>
    <x v="3"/>
    <x v="3"/>
    <m/>
    <n v="0"/>
    <n v="0"/>
    <n v="0"/>
    <n v="1"/>
    <n v="0"/>
    <n v="0"/>
    <n v="0"/>
    <n v="0"/>
    <s v="O"/>
  </r>
  <r>
    <n v="327"/>
    <x v="4"/>
    <x v="1"/>
    <x v="2"/>
    <x v="2"/>
    <n v="60"/>
    <x v="1"/>
    <x v="1"/>
    <x v="1"/>
    <x v="1"/>
    <x v="3"/>
    <s v="12.09.17"/>
    <x v="1"/>
    <x v="5"/>
    <x v="2"/>
    <s v="rarely"/>
    <n v="2"/>
    <s v="2x w roku"/>
    <x v="3"/>
    <x v="3"/>
    <m/>
    <n v="0"/>
    <n v="0"/>
    <n v="0"/>
    <n v="1"/>
    <n v="0"/>
    <n v="0"/>
    <n v="0"/>
    <n v="0"/>
    <s v="O"/>
  </r>
  <r>
    <n v="328"/>
    <x v="4"/>
    <x v="1"/>
    <x v="2"/>
    <x v="2"/>
    <n v="62"/>
    <x v="1"/>
    <x v="1"/>
    <x v="1"/>
    <x v="2"/>
    <x v="4"/>
    <s v="13.09.17"/>
    <x v="2"/>
    <x v="6"/>
    <x v="2"/>
    <s v="regularly"/>
    <n v="4"/>
    <s v="1x w mies"/>
    <x v="3"/>
    <x v="3"/>
    <m/>
    <n v="0"/>
    <n v="0"/>
    <n v="0"/>
    <n v="1"/>
    <n v="0"/>
    <n v="0"/>
    <n v="0"/>
    <n v="0"/>
    <s v="O"/>
  </r>
  <r>
    <n v="329"/>
    <x v="4"/>
    <x v="1"/>
    <x v="2"/>
    <x v="1"/>
    <n v="23"/>
    <x v="4"/>
    <x v="1"/>
    <x v="4"/>
    <x v="2"/>
    <x v="3"/>
    <s v="13.09.17"/>
    <x v="2"/>
    <x v="2"/>
    <x v="2"/>
    <s v="never"/>
    <n v="1"/>
    <s v="nie"/>
    <x v="5"/>
    <x v="3"/>
    <m/>
    <n v="0"/>
    <n v="0"/>
    <n v="1"/>
    <n v="0"/>
    <n v="0"/>
    <n v="0"/>
    <n v="0"/>
    <n v="0"/>
    <s v="U"/>
  </r>
  <r>
    <n v="330"/>
    <x v="4"/>
    <x v="1"/>
    <x v="2"/>
    <x v="1"/>
    <n v="28"/>
    <x v="4"/>
    <x v="2"/>
    <x v="1"/>
    <x v="2"/>
    <x v="1"/>
    <s v="13.09.17"/>
    <x v="2"/>
    <x v="5"/>
    <x v="2"/>
    <s v="rarely"/>
    <n v="2"/>
    <s v="1-2x w roku"/>
    <x v="6"/>
    <x v="3"/>
    <m/>
    <n v="0"/>
    <n v="0"/>
    <n v="0"/>
    <n v="0"/>
    <n v="0"/>
    <n v="0"/>
    <n v="0"/>
    <n v="1"/>
    <s v="LS"/>
  </r>
  <r>
    <n v="331"/>
    <x v="4"/>
    <x v="1"/>
    <x v="1"/>
    <x v="2"/>
    <n v="23"/>
    <x v="1"/>
    <x v="2"/>
    <x v="4"/>
    <x v="2"/>
    <x v="1"/>
    <s v="12.09.17"/>
    <x v="1"/>
    <x v="5"/>
    <x v="2"/>
    <s v="never"/>
    <n v="1"/>
    <s v="nie"/>
    <x v="8"/>
    <x v="3"/>
    <m/>
    <n v="0"/>
    <n v="0"/>
    <n v="0"/>
    <n v="0"/>
    <n v="0"/>
    <n v="1"/>
    <n v="0"/>
    <n v="0"/>
    <s v="WP"/>
  </r>
  <r>
    <n v="332"/>
    <x v="4"/>
    <x v="1"/>
    <x v="1"/>
    <x v="1"/>
    <n v="60"/>
    <x v="1"/>
    <x v="1"/>
    <x v="1"/>
    <x v="2"/>
    <x v="4"/>
    <s v="12.09.17"/>
    <x v="1"/>
    <x v="5"/>
    <x v="2"/>
    <s v="never"/>
    <n v="1"/>
    <s v="nie"/>
    <x v="3"/>
    <x v="3"/>
    <m/>
    <n v="0"/>
    <n v="0"/>
    <n v="0"/>
    <n v="1"/>
    <n v="0"/>
    <n v="0"/>
    <n v="0"/>
    <n v="0"/>
    <s v="O"/>
  </r>
  <r>
    <n v="333"/>
    <x v="4"/>
    <x v="1"/>
    <x v="1"/>
    <x v="1"/>
    <n v="47"/>
    <x v="1"/>
    <x v="2"/>
    <x v="4"/>
    <x v="1"/>
    <x v="4"/>
    <s v="12.09.17"/>
    <x v="1"/>
    <x v="5"/>
    <x v="2"/>
    <s v="rarely"/>
    <n v="2"/>
    <s v="2x w roku"/>
    <x v="4"/>
    <x v="3"/>
    <m/>
    <n v="0"/>
    <n v="1"/>
    <n v="0"/>
    <n v="0"/>
    <n v="0"/>
    <n v="0"/>
    <n v="0"/>
    <n v="0"/>
    <s v="WJ"/>
  </r>
  <r>
    <n v="334"/>
    <x v="4"/>
    <x v="1"/>
    <x v="1"/>
    <x v="1"/>
    <n v="25"/>
    <x v="1"/>
    <x v="1"/>
    <x v="1"/>
    <x v="1"/>
    <x v="4"/>
    <s v="13.09.17"/>
    <x v="2"/>
    <x v="6"/>
    <x v="2"/>
    <s v="occasionally"/>
    <n v="3"/>
    <s v="kx w roku"/>
    <x v="1"/>
    <x v="3"/>
    <m/>
    <n v="1"/>
    <n v="0"/>
    <n v="0"/>
    <n v="0"/>
    <n v="0"/>
    <n v="0"/>
    <n v="0"/>
    <n v="0"/>
    <s v="BL"/>
  </r>
  <r>
    <n v="335"/>
    <x v="4"/>
    <x v="1"/>
    <x v="1"/>
    <x v="1"/>
    <n v="31"/>
    <x v="4"/>
    <x v="2"/>
    <x v="1"/>
    <x v="1"/>
    <x v="4"/>
    <s v="13.09.17"/>
    <x v="2"/>
    <x v="5"/>
    <x v="2"/>
    <s v="never"/>
    <n v="1"/>
    <s v="nie"/>
    <x v="6"/>
    <x v="3"/>
    <m/>
    <n v="0"/>
    <n v="0"/>
    <n v="0"/>
    <n v="0"/>
    <n v="0"/>
    <n v="0"/>
    <n v="0"/>
    <n v="1"/>
    <s v="LS"/>
  </r>
  <r>
    <n v="336"/>
    <x v="6"/>
    <x v="2"/>
    <x v="2"/>
    <x v="1"/>
    <n v="29"/>
    <x v="1"/>
    <x v="2"/>
    <x v="5"/>
    <x v="2"/>
    <x v="1"/>
    <s v="11.09.17"/>
    <x v="1"/>
    <x v="5"/>
    <x v="2"/>
    <s v="never"/>
    <n v="1"/>
    <s v="nie"/>
    <x v="1"/>
    <x v="3"/>
    <m/>
    <n v="1"/>
    <n v="0"/>
    <n v="0"/>
    <n v="0"/>
    <n v="0"/>
    <n v="0"/>
    <n v="0"/>
    <n v="0"/>
    <s v="BL"/>
  </r>
  <r>
    <n v="337"/>
    <x v="6"/>
    <x v="2"/>
    <x v="2"/>
    <x v="2"/>
    <n v="26"/>
    <x v="1"/>
    <x v="1"/>
    <x v="1"/>
    <x v="2"/>
    <x v="1"/>
    <s v="11.09.17"/>
    <x v="1"/>
    <x v="5"/>
    <x v="2"/>
    <s v="regularly"/>
    <n v="4"/>
    <s v="1x w mies"/>
    <x v="1"/>
    <x v="3"/>
    <m/>
    <n v="1"/>
    <n v="0"/>
    <n v="0"/>
    <n v="0"/>
    <n v="0"/>
    <n v="0"/>
    <n v="0"/>
    <n v="0"/>
    <s v="BL"/>
  </r>
  <r>
    <n v="338"/>
    <x v="6"/>
    <x v="2"/>
    <x v="2"/>
    <x v="1"/>
    <n v="22"/>
    <x v="3"/>
    <x v="1"/>
    <x v="5"/>
    <x v="1"/>
    <x v="1"/>
    <s v="11.09.17"/>
    <x v="1"/>
    <x v="2"/>
    <x v="2"/>
    <s v="never"/>
    <n v="1"/>
    <s v="nie"/>
    <x v="3"/>
    <x v="3"/>
    <m/>
    <n v="0"/>
    <n v="0"/>
    <n v="0"/>
    <n v="1"/>
    <n v="0"/>
    <n v="0"/>
    <n v="0"/>
    <n v="0"/>
    <s v="O"/>
  </r>
  <r>
    <n v="339"/>
    <x v="6"/>
    <x v="2"/>
    <x v="2"/>
    <x v="1"/>
    <n v="33"/>
    <x v="3"/>
    <x v="1"/>
    <x v="5"/>
    <x v="1"/>
    <x v="3"/>
    <s v="11.09.17"/>
    <x v="1"/>
    <x v="5"/>
    <x v="2"/>
    <s v="regularly"/>
    <n v="4"/>
    <s v="1x w mies"/>
    <x v="2"/>
    <x v="3"/>
    <m/>
    <n v="0"/>
    <n v="0"/>
    <n v="0"/>
    <n v="0"/>
    <n v="0"/>
    <n v="0"/>
    <n v="1"/>
    <n v="0"/>
    <s v="BR"/>
  </r>
  <r>
    <n v="340"/>
    <x v="6"/>
    <x v="2"/>
    <x v="2"/>
    <x v="2"/>
    <n v="65"/>
    <x v="1"/>
    <x v="1"/>
    <x v="1"/>
    <x v="2"/>
    <x v="4"/>
    <s v="13.09.17"/>
    <x v="2"/>
    <x v="5"/>
    <x v="2"/>
    <s v="occasionally"/>
    <n v="3"/>
    <s v="kx w roku"/>
    <x v="1"/>
    <x v="3"/>
    <m/>
    <n v="1"/>
    <n v="0"/>
    <n v="0"/>
    <n v="0"/>
    <n v="0"/>
    <n v="0"/>
    <n v="0"/>
    <n v="0"/>
    <s v="BL"/>
  </r>
  <r>
    <n v="341"/>
    <x v="6"/>
    <x v="2"/>
    <x v="1"/>
    <x v="1"/>
    <n v="35"/>
    <x v="1"/>
    <x v="1"/>
    <x v="1"/>
    <x v="2"/>
    <x v="1"/>
    <s v="11.09.17"/>
    <x v="1"/>
    <x v="6"/>
    <x v="2"/>
    <s v="regularly"/>
    <n v="4"/>
    <s v="1x w mies"/>
    <x v="1"/>
    <x v="3"/>
    <m/>
    <n v="1"/>
    <n v="0"/>
    <n v="0"/>
    <n v="0"/>
    <n v="0"/>
    <n v="0"/>
    <n v="0"/>
    <n v="0"/>
    <s v="BL"/>
  </r>
  <r>
    <n v="342"/>
    <x v="6"/>
    <x v="2"/>
    <x v="1"/>
    <x v="1"/>
    <n v="53"/>
    <x v="1"/>
    <x v="1"/>
    <x v="1"/>
    <x v="2"/>
    <x v="3"/>
    <s v="12.09.17"/>
    <x v="1"/>
    <x v="5"/>
    <x v="2"/>
    <s v="regularly"/>
    <n v="4"/>
    <s v="2x w mies"/>
    <x v="1"/>
    <x v="3"/>
    <m/>
    <n v="1"/>
    <n v="0"/>
    <n v="0"/>
    <n v="0"/>
    <n v="0"/>
    <n v="0"/>
    <n v="0"/>
    <n v="0"/>
    <s v="BL"/>
  </r>
  <r>
    <n v="343"/>
    <x v="6"/>
    <x v="2"/>
    <x v="1"/>
    <x v="2"/>
    <n v="56"/>
    <x v="3"/>
    <x v="1"/>
    <x v="5"/>
    <x v="1"/>
    <x v="4"/>
    <s v="11.09.17"/>
    <x v="1"/>
    <x v="6"/>
    <x v="2"/>
    <s v="always"/>
    <n v="5"/>
    <s v="kx w mies"/>
    <x v="3"/>
    <x v="3"/>
    <m/>
    <n v="0"/>
    <n v="0"/>
    <n v="0"/>
    <n v="1"/>
    <n v="0"/>
    <n v="0"/>
    <n v="0"/>
    <n v="0"/>
    <s v="O"/>
  </r>
  <r>
    <n v="344"/>
    <x v="6"/>
    <x v="2"/>
    <x v="1"/>
    <x v="1"/>
    <n v="37"/>
    <x v="1"/>
    <x v="1"/>
    <x v="1"/>
    <x v="2"/>
    <x v="1"/>
    <s v="13.09.17"/>
    <x v="2"/>
    <x v="5"/>
    <x v="2"/>
    <s v="occasionally"/>
    <n v="3"/>
    <s v="kx w roku"/>
    <x v="1"/>
    <x v="3"/>
    <m/>
    <n v="1"/>
    <n v="0"/>
    <n v="0"/>
    <n v="0"/>
    <n v="0"/>
    <n v="0"/>
    <n v="0"/>
    <n v="0"/>
    <s v="BL"/>
  </r>
  <r>
    <n v="345"/>
    <x v="6"/>
    <x v="1"/>
    <x v="2"/>
    <x v="1"/>
    <n v="28"/>
    <x v="3"/>
    <x v="1"/>
    <x v="5"/>
    <x v="2"/>
    <x v="1"/>
    <s v="12.09.17"/>
    <x v="1"/>
    <x v="5"/>
    <x v="2"/>
    <s v="regularly"/>
    <n v="4"/>
    <s v="2x w mies"/>
    <x v="8"/>
    <x v="3"/>
    <m/>
    <n v="0"/>
    <n v="0"/>
    <n v="0"/>
    <n v="0"/>
    <n v="0"/>
    <n v="1"/>
    <n v="0"/>
    <n v="0"/>
    <s v="WP"/>
  </r>
  <r>
    <n v="346"/>
    <x v="6"/>
    <x v="1"/>
    <x v="2"/>
    <x v="2"/>
    <n v="22"/>
    <x v="3"/>
    <x v="1"/>
    <x v="5"/>
    <x v="2"/>
    <x v="1"/>
    <s v="11.09.17"/>
    <x v="2"/>
    <x v="6"/>
    <x v="2"/>
    <s v="never"/>
    <n v="1"/>
    <s v="nie"/>
    <x v="4"/>
    <x v="3"/>
    <m/>
    <n v="0"/>
    <n v="1"/>
    <n v="0"/>
    <n v="0"/>
    <n v="0"/>
    <n v="0"/>
    <n v="0"/>
    <n v="0"/>
    <s v="WJ"/>
  </r>
  <r>
    <n v="347"/>
    <x v="6"/>
    <x v="1"/>
    <x v="2"/>
    <x v="1"/>
    <n v="39"/>
    <x v="1"/>
    <x v="1"/>
    <x v="1"/>
    <x v="2"/>
    <x v="1"/>
    <s v="13.09.17"/>
    <x v="2"/>
    <x v="5"/>
    <x v="2"/>
    <s v="regularly"/>
    <n v="4"/>
    <s v="4x w mies"/>
    <x v="1"/>
    <x v="3"/>
    <m/>
    <n v="1"/>
    <n v="0"/>
    <n v="0"/>
    <n v="0"/>
    <n v="0"/>
    <n v="0"/>
    <n v="0"/>
    <n v="0"/>
    <s v="BL"/>
  </r>
  <r>
    <n v="348"/>
    <x v="6"/>
    <x v="1"/>
    <x v="2"/>
    <x v="1"/>
    <n v="27"/>
    <x v="1"/>
    <x v="1"/>
    <x v="1"/>
    <x v="1"/>
    <x v="1"/>
    <s v="13.09.17"/>
    <x v="2"/>
    <x v="6"/>
    <x v="2"/>
    <s v="never"/>
    <n v="1"/>
    <s v="nie"/>
    <x v="1"/>
    <x v="3"/>
    <m/>
    <n v="1"/>
    <n v="0"/>
    <n v="0"/>
    <n v="0"/>
    <n v="0"/>
    <n v="0"/>
    <n v="0"/>
    <n v="0"/>
    <s v="BL"/>
  </r>
  <r>
    <n v="349"/>
    <x v="6"/>
    <x v="1"/>
    <x v="2"/>
    <x v="1"/>
    <n v="24"/>
    <x v="3"/>
    <x v="1"/>
    <x v="5"/>
    <x v="1"/>
    <x v="3"/>
    <s v="13.09.17"/>
    <x v="2"/>
    <x v="2"/>
    <x v="2"/>
    <s v="rarely"/>
    <n v="2"/>
    <s v="1x w roku"/>
    <x v="1"/>
    <x v="3"/>
    <m/>
    <n v="1"/>
    <n v="0"/>
    <n v="0"/>
    <n v="0"/>
    <n v="0"/>
    <n v="0"/>
    <n v="0"/>
    <n v="0"/>
    <s v="BR"/>
  </r>
  <r>
    <n v="350"/>
    <x v="6"/>
    <x v="1"/>
    <x v="2"/>
    <x v="2"/>
    <n v="28"/>
    <x v="1"/>
    <x v="1"/>
    <x v="1"/>
    <x v="1"/>
    <x v="4"/>
    <s v="13.09.17"/>
    <x v="2"/>
    <x v="5"/>
    <x v="2"/>
    <s v="never"/>
    <n v="1"/>
    <s v="nie"/>
    <x v="5"/>
    <x v="3"/>
    <s v="U7"/>
    <n v="0"/>
    <n v="0"/>
    <n v="1"/>
    <n v="0"/>
    <n v="0"/>
    <n v="0"/>
    <n v="0"/>
    <n v="0"/>
    <s v="ulubiona 7"/>
  </r>
  <r>
    <n v="351"/>
    <x v="6"/>
    <x v="1"/>
    <x v="1"/>
    <x v="2"/>
    <n v="50"/>
    <x v="1"/>
    <x v="1"/>
    <x v="1"/>
    <x v="2"/>
    <x v="3"/>
    <s v="12.09.17"/>
    <x v="1"/>
    <x v="5"/>
    <x v="2"/>
    <s v="regularly"/>
    <n v="4"/>
    <s v="1x w mies"/>
    <x v="3"/>
    <x v="3"/>
    <m/>
    <n v="0"/>
    <n v="0"/>
    <n v="0"/>
    <n v="1"/>
    <n v="0"/>
    <n v="0"/>
    <n v="0"/>
    <n v="0"/>
    <s v="O"/>
  </r>
  <r>
    <n v="352"/>
    <x v="6"/>
    <x v="1"/>
    <x v="1"/>
    <x v="2"/>
    <n v="62"/>
    <x v="1"/>
    <x v="1"/>
    <x v="1"/>
    <x v="2"/>
    <x v="4"/>
    <s v="12.09.17"/>
    <x v="1"/>
    <x v="5"/>
    <x v="2"/>
    <s v="occasionally"/>
    <n v="3"/>
    <s v="kx w roku"/>
    <x v="1"/>
    <x v="3"/>
    <m/>
    <n v="1"/>
    <n v="0"/>
    <n v="0"/>
    <n v="0"/>
    <n v="0"/>
    <n v="0"/>
    <n v="0"/>
    <n v="0"/>
    <s v="BL"/>
  </r>
  <r>
    <n v="353"/>
    <x v="6"/>
    <x v="1"/>
    <x v="1"/>
    <x v="2"/>
    <n v="25"/>
    <x v="1"/>
    <x v="1"/>
    <x v="1"/>
    <x v="1"/>
    <x v="4"/>
    <s v="12.09.17"/>
    <x v="1"/>
    <x v="5"/>
    <x v="2"/>
    <s v="never"/>
    <n v="1"/>
    <s v="nie"/>
    <x v="3"/>
    <x v="3"/>
    <m/>
    <n v="0"/>
    <n v="0"/>
    <n v="0"/>
    <n v="1"/>
    <n v="0"/>
    <n v="0"/>
    <n v="0"/>
    <n v="0"/>
    <s v="O"/>
  </r>
  <r>
    <n v="354"/>
    <x v="6"/>
    <x v="1"/>
    <x v="1"/>
    <x v="2"/>
    <n v="25"/>
    <x v="1"/>
    <x v="1"/>
    <x v="1"/>
    <x v="1"/>
    <x v="1"/>
    <s v="12.09.17"/>
    <x v="1"/>
    <x v="5"/>
    <x v="2"/>
    <s v="never"/>
    <n v="1"/>
    <s v="nie"/>
    <x v="1"/>
    <x v="3"/>
    <m/>
    <n v="1"/>
    <n v="0"/>
    <n v="0"/>
    <n v="0"/>
    <n v="0"/>
    <n v="0"/>
    <n v="0"/>
    <n v="0"/>
    <s v="BL"/>
  </r>
  <r>
    <n v="355"/>
    <x v="6"/>
    <x v="1"/>
    <x v="1"/>
    <x v="2"/>
    <n v="26"/>
    <x v="1"/>
    <x v="1"/>
    <x v="1"/>
    <x v="2"/>
    <x v="3"/>
    <s v="13.09.17"/>
    <x v="2"/>
    <x v="5"/>
    <x v="2"/>
    <s v="never"/>
    <n v="1"/>
    <s v="nie"/>
    <x v="1"/>
    <x v="3"/>
    <m/>
    <n v="1"/>
    <n v="0"/>
    <n v="0"/>
    <n v="0"/>
    <n v="0"/>
    <n v="0"/>
    <n v="0"/>
    <n v="0"/>
    <s v="BL"/>
  </r>
  <r>
    <n v="356"/>
    <x v="6"/>
    <x v="1"/>
    <x v="1"/>
    <x v="1"/>
    <n v="21"/>
    <x v="3"/>
    <x v="2"/>
    <x v="1"/>
    <x v="2"/>
    <x v="4"/>
    <s v="13.09.17"/>
    <x v="2"/>
    <x v="5"/>
    <x v="2"/>
    <s v="never"/>
    <n v="1"/>
    <s v="nie"/>
    <x v="4"/>
    <x v="3"/>
    <m/>
    <n v="0"/>
    <n v="1"/>
    <n v="0"/>
    <n v="0"/>
    <n v="0"/>
    <n v="0"/>
    <n v="0"/>
    <n v="0"/>
    <s v="WJ"/>
  </r>
  <r>
    <n v="357"/>
    <x v="2"/>
    <x v="2"/>
    <x v="2"/>
    <x v="2"/>
    <n v="48"/>
    <x v="1"/>
    <x v="1"/>
    <x v="1"/>
    <x v="1"/>
    <x v="1"/>
    <s v="12.10.17"/>
    <x v="1"/>
    <x v="2"/>
    <x v="2"/>
    <s v="never"/>
    <n v="1"/>
    <s v="nie"/>
    <x v="8"/>
    <x v="7"/>
    <m/>
    <n v="1"/>
    <n v="0"/>
    <n v="0"/>
    <n v="0"/>
    <n v="0"/>
    <n v="1"/>
    <n v="0"/>
    <n v="0"/>
    <s v="WP/ BL"/>
  </r>
  <r>
    <n v="358"/>
    <x v="2"/>
    <x v="1"/>
    <x v="1"/>
    <x v="1"/>
    <n v="68"/>
    <x v="5"/>
    <x v="1"/>
    <x v="6"/>
    <x v="1"/>
    <x v="3"/>
    <s v="12.10.17"/>
    <x v="1"/>
    <x v="2"/>
    <x v="2"/>
    <s v="never"/>
    <n v="1"/>
    <s v="nie"/>
    <x v="5"/>
    <x v="3"/>
    <m/>
    <n v="0"/>
    <n v="0"/>
    <n v="1"/>
    <n v="0"/>
    <n v="0"/>
    <n v="0"/>
    <n v="0"/>
    <n v="0"/>
    <s v="U"/>
  </r>
  <r>
    <n v="359"/>
    <x v="5"/>
    <x v="2"/>
    <x v="1"/>
    <x v="2"/>
    <n v="68"/>
    <x v="1"/>
    <x v="1"/>
    <x v="1"/>
    <x v="2"/>
    <x v="3"/>
    <s v="12.10.17"/>
    <x v="1"/>
    <x v="2"/>
    <x v="2"/>
    <s v="never"/>
    <n v="1"/>
    <s v="nie"/>
    <x v="5"/>
    <x v="3"/>
    <m/>
    <n v="0"/>
    <n v="0"/>
    <n v="1"/>
    <n v="0"/>
    <n v="0"/>
    <n v="0"/>
    <n v="0"/>
    <n v="0"/>
    <s v="U (data urodzin)"/>
  </r>
  <r>
    <n v="360"/>
    <x v="5"/>
    <x v="1"/>
    <x v="2"/>
    <x v="1"/>
    <n v="24"/>
    <x v="1"/>
    <x v="2"/>
    <x v="7"/>
    <x v="1"/>
    <x v="4"/>
    <s v="12.10.17"/>
    <x v="1"/>
    <x v="2"/>
    <x v="2"/>
    <s v="never"/>
    <n v="1"/>
    <s v="nie"/>
    <x v="4"/>
    <x v="3"/>
    <m/>
    <n v="0"/>
    <n v="1"/>
    <n v="0"/>
    <n v="0"/>
    <n v="0"/>
    <n v="0"/>
    <n v="0"/>
    <n v="0"/>
    <s v="WJ"/>
  </r>
  <r>
    <n v="361"/>
    <x v="1"/>
    <x v="2"/>
    <x v="2"/>
    <x v="2"/>
    <n v="35"/>
    <x v="1"/>
    <x v="1"/>
    <x v="1"/>
    <x v="1"/>
    <x v="4"/>
    <s v="12.10.17"/>
    <x v="1"/>
    <x v="2"/>
    <x v="2"/>
    <s v="never"/>
    <n v="1"/>
    <s v="nie"/>
    <x v="8"/>
    <x v="3"/>
    <m/>
    <n v="0"/>
    <n v="0"/>
    <n v="0"/>
    <n v="0"/>
    <n v="0"/>
    <n v="1"/>
    <n v="0"/>
    <n v="0"/>
    <s v="WP"/>
  </r>
  <r>
    <n v="362"/>
    <x v="1"/>
    <x v="1"/>
    <x v="1"/>
    <x v="2"/>
    <n v="18"/>
    <x v="1"/>
    <x v="1"/>
    <x v="1"/>
    <x v="1"/>
    <x v="1"/>
    <s v="12.10.17"/>
    <x v="1"/>
    <x v="2"/>
    <x v="2"/>
    <s v="never"/>
    <n v="1"/>
    <s v="nie"/>
    <x v="1"/>
    <x v="3"/>
    <m/>
    <n v="1"/>
    <n v="0"/>
    <n v="0"/>
    <n v="0"/>
    <n v="0"/>
    <n v="0"/>
    <n v="0"/>
    <n v="0"/>
    <s v="BL"/>
  </r>
  <r>
    <n v="363"/>
    <x v="1"/>
    <x v="1"/>
    <x v="1"/>
    <x v="2"/>
    <n v="19"/>
    <x v="1"/>
    <x v="1"/>
    <x v="1"/>
    <x v="2"/>
    <x v="3"/>
    <s v="12.10.17"/>
    <x v="1"/>
    <x v="2"/>
    <x v="2"/>
    <s v="rarely"/>
    <n v="2"/>
    <s v="1x w roku"/>
    <x v="1"/>
    <x v="3"/>
    <m/>
    <n v="1"/>
    <n v="0"/>
    <n v="0"/>
    <n v="0"/>
    <n v="0"/>
    <n v="0"/>
    <n v="0"/>
    <n v="0"/>
    <s v="BL"/>
  </r>
  <r>
    <n v="364"/>
    <x v="3"/>
    <x v="2"/>
    <x v="1"/>
    <x v="1"/>
    <n v="20"/>
    <x v="1"/>
    <x v="1"/>
    <x v="1"/>
    <x v="1"/>
    <x v="3"/>
    <s v="12.10.17"/>
    <x v="1"/>
    <x v="2"/>
    <x v="2"/>
    <s v="never"/>
    <n v="1"/>
    <s v="nie"/>
    <x v="1"/>
    <x v="3"/>
    <m/>
    <n v="1"/>
    <n v="0"/>
    <n v="0"/>
    <n v="0"/>
    <n v="0"/>
    <n v="0"/>
    <n v="0"/>
    <n v="0"/>
    <s v="BL"/>
  </r>
  <r>
    <n v="365"/>
    <x v="3"/>
    <x v="1"/>
    <x v="2"/>
    <x v="1"/>
    <n v="20"/>
    <x v="1"/>
    <x v="1"/>
    <x v="1"/>
    <x v="2"/>
    <x v="3"/>
    <s v="12.10.17"/>
    <x v="1"/>
    <x v="2"/>
    <x v="2"/>
    <s v="never"/>
    <n v="1"/>
    <s v="nie"/>
    <x v="8"/>
    <x v="3"/>
    <m/>
    <n v="0"/>
    <n v="0"/>
    <n v="0"/>
    <n v="0"/>
    <n v="0"/>
    <n v="1"/>
    <n v="0"/>
    <n v="0"/>
    <s v="WP"/>
  </r>
  <r>
    <n v="366"/>
    <x v="6"/>
    <x v="2"/>
    <x v="1"/>
    <x v="2"/>
    <n v="34"/>
    <x v="3"/>
    <x v="1"/>
    <x v="5"/>
    <x v="1"/>
    <x v="1"/>
    <s v="12.10.17"/>
    <x v="1"/>
    <x v="2"/>
    <x v="2"/>
    <s v="never"/>
    <n v="1"/>
    <s v="nie"/>
    <x v="4"/>
    <x v="3"/>
    <m/>
    <n v="0"/>
    <n v="1"/>
    <n v="0"/>
    <n v="0"/>
    <n v="0"/>
    <n v="0"/>
    <n v="0"/>
    <n v="0"/>
    <s v="WJ"/>
  </r>
  <r>
    <n v="367"/>
    <x v="1"/>
    <x v="2"/>
    <x v="2"/>
    <x v="2"/>
    <n v="32"/>
    <x v="1"/>
    <x v="1"/>
    <x v="1"/>
    <x v="1"/>
    <x v="1"/>
    <s v="12.10.17"/>
    <x v="2"/>
    <x v="2"/>
    <x v="2"/>
    <s v="rarely"/>
    <n v="2"/>
    <s v="2x w roku"/>
    <x v="1"/>
    <x v="4"/>
    <m/>
    <n v="1"/>
    <n v="0"/>
    <n v="0"/>
    <n v="0"/>
    <n v="0"/>
    <n v="1"/>
    <n v="0"/>
    <n v="0"/>
    <s v="BL + WP"/>
  </r>
  <r>
    <n v="368"/>
    <x v="1"/>
    <x v="1"/>
    <x v="2"/>
    <x v="2"/>
    <n v="51"/>
    <x v="1"/>
    <x v="1"/>
    <x v="1"/>
    <x v="1"/>
    <x v="4"/>
    <s v="12.10.17"/>
    <x v="2"/>
    <x v="2"/>
    <x v="2"/>
    <s v="regularly"/>
    <n v="4"/>
    <s v="1x w mies"/>
    <x v="1"/>
    <x v="3"/>
    <m/>
    <n v="1"/>
    <n v="0"/>
    <n v="0"/>
    <n v="0"/>
    <n v="0"/>
    <n v="0"/>
    <n v="0"/>
    <n v="0"/>
    <s v="BL"/>
  </r>
  <r>
    <n v="369"/>
    <x v="1"/>
    <x v="1"/>
    <x v="2"/>
    <x v="1"/>
    <n v="32"/>
    <x v="1"/>
    <x v="2"/>
    <x v="3"/>
    <x v="2"/>
    <x v="1"/>
    <s v="12.10.17"/>
    <x v="2"/>
    <x v="2"/>
    <x v="2"/>
    <s v="never"/>
    <n v="1"/>
    <s v="nie"/>
    <x v="4"/>
    <x v="3"/>
    <m/>
    <n v="0"/>
    <n v="1"/>
    <n v="0"/>
    <n v="0"/>
    <n v="0"/>
    <s v="10.10.17"/>
    <n v="0"/>
    <n v="0"/>
    <s v="WJ"/>
  </r>
  <r>
    <n v="370"/>
    <x v="1"/>
    <x v="1"/>
    <x v="1"/>
    <x v="2"/>
    <n v="21"/>
    <x v="1"/>
    <x v="1"/>
    <x v="1"/>
    <x v="2"/>
    <x v="3"/>
    <s v="12.10.17"/>
    <x v="2"/>
    <x v="2"/>
    <x v="2"/>
    <s v="never"/>
    <n v="1"/>
    <s v="nie"/>
    <x v="8"/>
    <x v="7"/>
    <m/>
    <n v="1"/>
    <n v="0"/>
    <n v="0"/>
    <n v="0"/>
    <n v="0"/>
    <n v="1"/>
    <n v="0"/>
    <n v="0"/>
    <s v="WP/ BL"/>
  </r>
  <r>
    <n v="371"/>
    <x v="1"/>
    <x v="1"/>
    <x v="1"/>
    <x v="1"/>
    <n v="18"/>
    <x v="1"/>
    <x v="1"/>
    <x v="1"/>
    <x v="1"/>
    <x v="1"/>
    <s v="12.10.17"/>
    <x v="2"/>
    <x v="2"/>
    <x v="2"/>
    <s v="never"/>
    <n v="1"/>
    <s v="nie"/>
    <x v="4"/>
    <x v="5"/>
    <m/>
    <n v="0"/>
    <n v="1"/>
    <n v="1"/>
    <n v="0"/>
    <n v="0"/>
    <n v="0"/>
    <n v="0"/>
    <n v="0"/>
    <s v="WJ ale jest tam U"/>
  </r>
  <r>
    <n v="372"/>
    <x v="1"/>
    <x v="2"/>
    <x v="1"/>
    <x v="2"/>
    <n v="32"/>
    <x v="7"/>
    <x v="1"/>
    <x v="3"/>
    <x v="2"/>
    <x v="4"/>
    <s v="12.10.17"/>
    <x v="2"/>
    <x v="2"/>
    <x v="2"/>
    <s v="regularly"/>
    <n v="4"/>
    <s v="2x w mies"/>
    <x v="3"/>
    <x v="3"/>
    <m/>
    <n v="0"/>
    <n v="0"/>
    <n v="0"/>
    <n v="1"/>
    <n v="0"/>
    <n v="0"/>
    <n v="0"/>
    <n v="0"/>
    <s v="O"/>
  </r>
  <r>
    <n v="373"/>
    <x v="1"/>
    <x v="2"/>
    <x v="1"/>
    <x v="1"/>
    <n v="26"/>
    <x v="1"/>
    <x v="1"/>
    <x v="1"/>
    <x v="1"/>
    <x v="1"/>
    <s v="12.10.17"/>
    <x v="2"/>
    <x v="2"/>
    <x v="2"/>
    <s v="never"/>
    <n v="1"/>
    <s v="nie"/>
    <x v="6"/>
    <x v="3"/>
    <m/>
    <n v="0"/>
    <n v="0"/>
    <n v="0"/>
    <n v="0"/>
    <n v="0"/>
    <n v="0"/>
    <n v="0"/>
    <n v="1"/>
    <s v="bo śmieszne liczby"/>
  </r>
  <r>
    <n v="374"/>
    <x v="3"/>
    <x v="1"/>
    <x v="2"/>
    <x v="2"/>
    <n v="62"/>
    <x v="6"/>
    <x v="1"/>
    <x v="2"/>
    <x v="2"/>
    <x v="4"/>
    <s v="12.10.17"/>
    <x v="2"/>
    <x v="2"/>
    <x v="2"/>
    <s v="occasionally"/>
    <n v="3"/>
    <s v="4x w roku"/>
    <x v="3"/>
    <x v="3"/>
    <m/>
    <n v="0"/>
    <n v="0"/>
    <n v="0"/>
    <n v="1"/>
    <n v="0"/>
    <n v="0"/>
    <n v="0"/>
    <n v="0"/>
    <s v="O"/>
  </r>
  <r>
    <n v="375"/>
    <x v="4"/>
    <x v="2"/>
    <x v="2"/>
    <x v="2"/>
    <n v="22"/>
    <x v="4"/>
    <x v="1"/>
    <x v="4"/>
    <x v="1"/>
    <x v="4"/>
    <s v="12.10.17"/>
    <x v="2"/>
    <x v="2"/>
    <x v="2"/>
    <s v="never"/>
    <n v="1"/>
    <s v="nie"/>
    <x v="4"/>
    <x v="3"/>
    <m/>
    <n v="0"/>
    <n v="1"/>
    <n v="0"/>
    <n v="0"/>
    <n v="0"/>
    <n v="0"/>
    <n v="0"/>
    <n v="0"/>
    <s v="WJ"/>
  </r>
  <r>
    <n v="376"/>
    <x v="4"/>
    <x v="1"/>
    <x v="1"/>
    <x v="1"/>
    <n v="26"/>
    <x v="4"/>
    <x v="1"/>
    <x v="4"/>
    <x v="2"/>
    <x v="4"/>
    <s v="12.10.17"/>
    <x v="2"/>
    <x v="2"/>
    <x v="2"/>
    <s v="rarely"/>
    <n v="2"/>
    <s v="2x w roku"/>
    <x v="8"/>
    <x v="3"/>
    <m/>
    <n v="0"/>
    <n v="0"/>
    <n v="0"/>
    <n v="0"/>
    <n v="0"/>
    <n v="1"/>
    <n v="0"/>
    <n v="0"/>
    <s v="WP"/>
  </r>
  <r>
    <n v="377"/>
    <x v="6"/>
    <x v="1"/>
    <x v="2"/>
    <x v="2"/>
    <n v="37"/>
    <x v="3"/>
    <x v="1"/>
    <x v="5"/>
    <x v="2"/>
    <x v="3"/>
    <s v="12.10.17"/>
    <x v="2"/>
    <x v="2"/>
    <x v="2"/>
    <s v="never"/>
    <n v="1"/>
    <s v="nie"/>
    <x v="3"/>
    <x v="3"/>
    <m/>
    <n v="0"/>
    <n v="0"/>
    <n v="0"/>
    <n v="1"/>
    <n v="0"/>
    <n v="0"/>
    <n v="0"/>
    <n v="0"/>
    <s v="O"/>
  </r>
  <r>
    <n v="378"/>
    <x v="2"/>
    <x v="2"/>
    <x v="2"/>
    <x v="1"/>
    <n v="37"/>
    <x v="1"/>
    <x v="1"/>
    <x v="1"/>
    <x v="1"/>
    <x v="4"/>
    <s v="12.10.17"/>
    <x v="2"/>
    <x v="2"/>
    <x v="2"/>
    <s v="never"/>
    <n v="1"/>
    <s v="nie"/>
    <x v="3"/>
    <x v="3"/>
    <m/>
    <n v="0"/>
    <n v="0"/>
    <n v="0"/>
    <n v="1"/>
    <n v="0"/>
    <n v="0"/>
    <n v="0"/>
    <n v="0"/>
    <s v="O"/>
  </r>
  <r>
    <n v="379"/>
    <x v="1"/>
    <x v="1"/>
    <x v="2"/>
    <x v="1"/>
    <n v="23"/>
    <x v="1"/>
    <x v="2"/>
    <x v="3"/>
    <x v="2"/>
    <x v="1"/>
    <s v="12.10.17"/>
    <x v="1"/>
    <x v="6"/>
    <x v="2"/>
    <s v="occasionally"/>
    <n v="3"/>
    <s v="4x w roku"/>
    <x v="4"/>
    <x v="3"/>
    <m/>
    <n v="0"/>
    <n v="1"/>
    <n v="0"/>
    <n v="0"/>
    <n v="0"/>
    <n v="0"/>
    <n v="0"/>
    <n v="0"/>
    <s v="WJ"/>
  </r>
  <r>
    <n v="380"/>
    <x v="1"/>
    <x v="1"/>
    <x v="2"/>
    <x v="1"/>
    <n v="23"/>
    <x v="1"/>
    <x v="2"/>
    <x v="3"/>
    <x v="1"/>
    <x v="1"/>
    <s v="12.10.17"/>
    <x v="1"/>
    <x v="6"/>
    <x v="2"/>
    <s v="never"/>
    <n v="1"/>
    <s v="nie"/>
    <x v="4"/>
    <x v="3"/>
    <m/>
    <n v="0"/>
    <n v="1"/>
    <n v="0"/>
    <n v="0"/>
    <n v="0"/>
    <n v="0"/>
    <n v="0"/>
    <n v="0"/>
    <s v="WJ"/>
  </r>
  <r>
    <n v="381"/>
    <x v="1"/>
    <x v="1"/>
    <x v="1"/>
    <x v="2"/>
    <n v="26"/>
    <x v="1"/>
    <x v="1"/>
    <x v="1"/>
    <x v="1"/>
    <x v="1"/>
    <s v="12.10.17"/>
    <x v="1"/>
    <x v="6"/>
    <x v="2"/>
    <s v="never"/>
    <n v="1"/>
    <s v="nie"/>
    <x v="1"/>
    <x v="3"/>
    <m/>
    <n v="1"/>
    <n v="0"/>
    <n v="0"/>
    <n v="0"/>
    <n v="0"/>
    <n v="0"/>
    <n v="0"/>
    <n v="0"/>
    <s v="BL"/>
  </r>
  <r>
    <n v="382"/>
    <x v="3"/>
    <x v="2"/>
    <x v="2"/>
    <x v="1"/>
    <n v="44"/>
    <x v="1"/>
    <x v="1"/>
    <x v="1"/>
    <x v="2"/>
    <x v="1"/>
    <s v="12.10.17"/>
    <x v="1"/>
    <x v="6"/>
    <x v="2"/>
    <s v="never"/>
    <n v="1"/>
    <s v="nie"/>
    <x v="6"/>
    <x v="3"/>
    <m/>
    <n v="0"/>
    <n v="0"/>
    <n v="0"/>
    <n v="0"/>
    <n v="0"/>
    <n v="0"/>
    <n v="0"/>
    <n v="1"/>
    <s v="LS"/>
  </r>
  <r>
    <n v="383"/>
    <x v="3"/>
    <x v="2"/>
    <x v="2"/>
    <x v="1"/>
    <n v="23"/>
    <x v="1"/>
    <x v="1"/>
    <x v="1"/>
    <x v="1"/>
    <x v="1"/>
    <s v="12.10.17"/>
    <x v="1"/>
    <x v="6"/>
    <x v="2"/>
    <s v="never"/>
    <n v="1"/>
    <s v="nie"/>
    <x v="8"/>
    <x v="3"/>
    <m/>
    <n v="0"/>
    <n v="0"/>
    <n v="0"/>
    <n v="0"/>
    <n v="0"/>
    <n v="1"/>
    <n v="0"/>
    <n v="0"/>
    <s v="WP"/>
  </r>
  <r>
    <n v="384"/>
    <x v="3"/>
    <x v="2"/>
    <x v="1"/>
    <x v="2"/>
    <n v="62"/>
    <x v="1"/>
    <x v="1"/>
    <x v="1"/>
    <x v="2"/>
    <x v="3"/>
    <s v="12.10.17"/>
    <x v="1"/>
    <x v="6"/>
    <x v="2"/>
    <s v="never"/>
    <n v="1"/>
    <s v="nie"/>
    <x v="1"/>
    <x v="3"/>
    <m/>
    <n v="1"/>
    <n v="0"/>
    <n v="0"/>
    <n v="0"/>
    <n v="0"/>
    <n v="0"/>
    <n v="0"/>
    <n v="0"/>
    <s v="BL"/>
  </r>
  <r>
    <n v="385"/>
    <x v="3"/>
    <x v="2"/>
    <x v="1"/>
    <x v="1"/>
    <n v="64"/>
    <x v="1"/>
    <x v="1"/>
    <x v="1"/>
    <x v="1"/>
    <x v="1"/>
    <s v="12.10.17"/>
    <x v="1"/>
    <x v="6"/>
    <x v="2"/>
    <s v="occasionally"/>
    <n v="3"/>
    <s v="4x w roku"/>
    <x v="5"/>
    <x v="3"/>
    <n v="13"/>
    <n v="0"/>
    <n v="0"/>
    <n v="1"/>
    <n v="0"/>
    <n v="0"/>
    <n v="0"/>
    <n v="0"/>
    <n v="0"/>
    <s v="U (13)"/>
  </r>
  <r>
    <n v="386"/>
    <x v="2"/>
    <x v="1"/>
    <x v="2"/>
    <x v="1"/>
    <n v="26"/>
    <x v="1"/>
    <x v="1"/>
    <x v="1"/>
    <x v="1"/>
    <x v="4"/>
    <s v="12.10.17"/>
    <x v="1"/>
    <x v="6"/>
    <x v="2"/>
    <s v="never"/>
    <n v="1"/>
    <s v="nie"/>
    <x v="6"/>
    <x v="7"/>
    <m/>
    <n v="1"/>
    <n v="0"/>
    <n v="0"/>
    <n v="0"/>
    <n v="0"/>
    <n v="0"/>
    <n v="0"/>
    <n v="1"/>
    <s v="LS/BL"/>
  </r>
  <r>
    <n v="387"/>
    <x v="5"/>
    <x v="1"/>
    <x v="1"/>
    <x v="1"/>
    <n v="23"/>
    <x v="1"/>
    <x v="1"/>
    <x v="1"/>
    <x v="1"/>
    <x v="1"/>
    <s v="12.10.17"/>
    <x v="1"/>
    <x v="6"/>
    <x v="2"/>
    <s v="never"/>
    <n v="1"/>
    <s v="nie"/>
    <x v="1"/>
    <x v="3"/>
    <m/>
    <n v="1"/>
    <n v="0"/>
    <n v="0"/>
    <n v="0"/>
    <n v="0"/>
    <n v="0"/>
    <n v="0"/>
    <n v="0"/>
    <s v="BL"/>
  </r>
  <r>
    <n v="388"/>
    <x v="4"/>
    <x v="2"/>
    <x v="1"/>
    <x v="2"/>
    <n v="26"/>
    <x v="1"/>
    <x v="2"/>
    <x v="4"/>
    <x v="1"/>
    <x v="1"/>
    <s v="12.10.17"/>
    <x v="1"/>
    <x v="6"/>
    <x v="2"/>
    <s v="never"/>
    <n v="1"/>
    <s v="nie"/>
    <x v="4"/>
    <x v="3"/>
    <m/>
    <n v="0"/>
    <n v="1"/>
    <n v="0"/>
    <n v="0"/>
    <n v="0"/>
    <n v="0"/>
    <n v="0"/>
    <n v="0"/>
    <s v="WJ"/>
  </r>
  <r>
    <n v="389"/>
    <x v="4"/>
    <x v="1"/>
    <x v="2"/>
    <x v="2"/>
    <n v="37"/>
    <x v="1"/>
    <x v="1"/>
    <x v="1"/>
    <x v="2"/>
    <x v="1"/>
    <s v="12.10.17"/>
    <x v="1"/>
    <x v="6"/>
    <x v="2"/>
    <s v="occasionally"/>
    <n v="3"/>
    <s v="kilka x w roku"/>
    <x v="8"/>
    <x v="7"/>
    <m/>
    <n v="1"/>
    <n v="0"/>
    <n v="0"/>
    <n v="0"/>
    <n v="0"/>
    <n v="1"/>
    <n v="0"/>
    <n v="0"/>
    <s v="WP/ BL"/>
  </r>
  <r>
    <n v="390"/>
    <x v="6"/>
    <x v="2"/>
    <x v="2"/>
    <x v="2"/>
    <n v="25"/>
    <x v="1"/>
    <x v="1"/>
    <x v="1"/>
    <x v="2"/>
    <x v="3"/>
    <s v="12.10.17"/>
    <x v="1"/>
    <x v="6"/>
    <x v="2"/>
    <s v="never"/>
    <n v="1"/>
    <s v="nie"/>
    <x v="1"/>
    <x v="3"/>
    <m/>
    <n v="1"/>
    <n v="0"/>
    <n v="0"/>
    <n v="0"/>
    <n v="0"/>
    <n v="0"/>
    <n v="0"/>
    <n v="0"/>
    <s v="BL"/>
  </r>
  <r>
    <n v="391"/>
    <x v="6"/>
    <x v="2"/>
    <x v="2"/>
    <x v="2"/>
    <n v="24"/>
    <x v="1"/>
    <x v="1"/>
    <x v="1"/>
    <x v="1"/>
    <x v="1"/>
    <s v="12.10.17"/>
    <x v="1"/>
    <x v="6"/>
    <x v="2"/>
    <s v="never"/>
    <n v="1"/>
    <s v="nie"/>
    <x v="1"/>
    <x v="3"/>
    <m/>
    <n v="1"/>
    <n v="0"/>
    <n v="0"/>
    <n v="0"/>
    <n v="0"/>
    <n v="0"/>
    <n v="0"/>
    <n v="0"/>
    <s v="BL"/>
  </r>
  <r>
    <n v="392"/>
    <x v="6"/>
    <x v="1"/>
    <x v="1"/>
    <x v="1"/>
    <n v="19"/>
    <x v="1"/>
    <x v="1"/>
    <x v="1"/>
    <x v="1"/>
    <x v="1"/>
    <s v="12.10.17"/>
    <x v="1"/>
    <x v="6"/>
    <x v="2"/>
    <s v="never"/>
    <n v="1"/>
    <s v="nie"/>
    <x v="1"/>
    <x v="6"/>
    <m/>
    <n v="1"/>
    <n v="0"/>
    <n v="0"/>
    <n v="0"/>
    <n v="0"/>
    <n v="0"/>
    <n v="0"/>
    <n v="1"/>
    <s v="BL/ LS"/>
  </r>
  <r>
    <n v="393"/>
    <x v="1"/>
    <x v="1"/>
    <x v="2"/>
    <x v="2"/>
    <n v="47"/>
    <x v="1"/>
    <x v="1"/>
    <x v="1"/>
    <x v="1"/>
    <x v="4"/>
    <s v="12.10.17"/>
    <x v="2"/>
    <x v="6"/>
    <x v="2"/>
    <s v="occasionally"/>
    <n v="3"/>
    <s v="4x w roku"/>
    <x v="5"/>
    <x v="3"/>
    <m/>
    <n v="0"/>
    <n v="0"/>
    <n v="1"/>
    <n v="0"/>
    <n v="0"/>
    <n v="0"/>
    <n v="0"/>
    <n v="0"/>
    <s v="U"/>
  </r>
  <r>
    <n v="394"/>
    <x v="1"/>
    <x v="1"/>
    <x v="1"/>
    <x v="1"/>
    <n v="36"/>
    <x v="1"/>
    <x v="1"/>
    <x v="1"/>
    <x v="1"/>
    <x v="1"/>
    <s v="12.10.17"/>
    <x v="2"/>
    <x v="6"/>
    <x v="2"/>
    <s v="never"/>
    <n v="1"/>
    <s v="nie"/>
    <x v="1"/>
    <x v="2"/>
    <m/>
    <n v="1"/>
    <n v="0"/>
    <n v="0"/>
    <n v="0"/>
    <n v="0"/>
    <n v="0"/>
    <n v="1"/>
    <n v="0"/>
    <s v="BL/ BR"/>
  </r>
  <r>
    <n v="395"/>
    <x v="3"/>
    <x v="2"/>
    <x v="2"/>
    <x v="1"/>
    <n v="21"/>
    <x v="1"/>
    <x v="1"/>
    <x v="1"/>
    <x v="1"/>
    <x v="1"/>
    <s v="12.10.17"/>
    <x v="2"/>
    <x v="6"/>
    <x v="2"/>
    <s v="never"/>
    <n v="1"/>
    <s v="nie"/>
    <x v="8"/>
    <x v="7"/>
    <m/>
    <n v="1"/>
    <n v="0"/>
    <n v="0"/>
    <n v="0"/>
    <n v="0"/>
    <n v="1"/>
    <n v="0"/>
    <n v="0"/>
    <s v="WP/BL"/>
  </r>
  <r>
    <n v="396"/>
    <x v="3"/>
    <x v="2"/>
    <x v="1"/>
    <x v="1"/>
    <n v="22"/>
    <x v="1"/>
    <x v="2"/>
    <x v="2"/>
    <x v="1"/>
    <x v="1"/>
    <s v="12.10.17"/>
    <x v="2"/>
    <x v="6"/>
    <x v="2"/>
    <s v="never"/>
    <n v="1"/>
    <s v="nie"/>
    <x v="4"/>
    <x v="3"/>
    <m/>
    <n v="0"/>
    <n v="1"/>
    <n v="0"/>
    <n v="0"/>
    <n v="0"/>
    <n v="0"/>
    <n v="0"/>
    <n v="0"/>
    <s v="WJ"/>
  </r>
  <r>
    <n v="397"/>
    <x v="3"/>
    <x v="2"/>
    <x v="1"/>
    <x v="2"/>
    <n v="38"/>
    <x v="1"/>
    <x v="1"/>
    <x v="1"/>
    <x v="2"/>
    <x v="3"/>
    <s v="12.10.17"/>
    <x v="2"/>
    <x v="6"/>
    <x v="2"/>
    <s v="rarely"/>
    <n v="2"/>
    <s v="1x w roku"/>
    <x v="1"/>
    <x v="3"/>
    <m/>
    <n v="1"/>
    <n v="0"/>
    <n v="0"/>
    <n v="0"/>
    <n v="0"/>
    <n v="0"/>
    <n v="0"/>
    <n v="0"/>
    <s v="BL"/>
  </r>
  <r>
    <n v="398"/>
    <x v="2"/>
    <x v="2"/>
    <x v="1"/>
    <x v="2"/>
    <n v="70"/>
    <x v="5"/>
    <x v="1"/>
    <x v="6"/>
    <x v="1"/>
    <x v="1"/>
    <s v="12.10.17"/>
    <x v="2"/>
    <x v="6"/>
    <x v="2"/>
    <s v="rarely"/>
    <n v="2"/>
    <s v="2x w roku"/>
    <x v="5"/>
    <x v="3"/>
    <n v="7"/>
    <n v="0"/>
    <n v="0"/>
    <n v="1"/>
    <n v="0"/>
    <n v="0"/>
    <n v="0"/>
    <n v="0"/>
    <n v="0"/>
    <s v="U (7)"/>
  </r>
  <r>
    <n v="399"/>
    <x v="2"/>
    <x v="1"/>
    <x v="1"/>
    <x v="1"/>
    <n v="18"/>
    <x v="5"/>
    <x v="1"/>
    <x v="6"/>
    <x v="1"/>
    <x v="3"/>
    <s v="12.10.17"/>
    <x v="2"/>
    <x v="6"/>
    <x v="2"/>
    <s v="never"/>
    <n v="1"/>
    <s v="nie"/>
    <x v="7"/>
    <x v="3"/>
    <m/>
    <n v="0"/>
    <n v="0"/>
    <n v="0"/>
    <n v="0"/>
    <n v="0"/>
    <n v="0"/>
    <n v="0"/>
    <n v="0"/>
    <s v="bo czuje podstęp"/>
  </r>
  <r>
    <n v="400"/>
    <x v="4"/>
    <x v="2"/>
    <x v="2"/>
    <x v="1"/>
    <n v="23"/>
    <x v="1"/>
    <x v="1"/>
    <x v="1"/>
    <x v="1"/>
    <x v="1"/>
    <s v="12.10.17"/>
    <x v="2"/>
    <x v="6"/>
    <x v="2"/>
    <s v="never"/>
    <n v="1"/>
    <s v="nie"/>
    <x v="4"/>
    <x v="3"/>
    <m/>
    <n v="0"/>
    <n v="1"/>
    <n v="0"/>
    <n v="0"/>
    <n v="0"/>
    <n v="0"/>
    <n v="0"/>
    <n v="0"/>
    <s v="WJ"/>
  </r>
  <r>
    <n v="401"/>
    <x v="6"/>
    <x v="1"/>
    <x v="1"/>
    <x v="2"/>
    <n v="18"/>
    <x v="3"/>
    <x v="1"/>
    <x v="5"/>
    <x v="1"/>
    <x v="1"/>
    <s v="12.10.17"/>
    <x v="2"/>
    <x v="6"/>
    <x v="2"/>
    <s v="never"/>
    <n v="1"/>
    <s v="nie"/>
    <x v="4"/>
    <x v="3"/>
    <m/>
    <n v="0"/>
    <n v="1"/>
    <n v="0"/>
    <n v="0"/>
    <n v="0"/>
    <n v="0"/>
    <n v="0"/>
    <n v="0"/>
    <s v="WJ"/>
  </r>
  <r>
    <n v="402"/>
    <x v="1"/>
    <x v="1"/>
    <x v="1"/>
    <x v="1"/>
    <n v="20"/>
    <x v="1"/>
    <x v="1"/>
    <x v="1"/>
    <x v="2"/>
    <x v="1"/>
    <s v="12.10.17"/>
    <x v="1"/>
    <x v="5"/>
    <x v="2"/>
    <s v="never"/>
    <n v="1"/>
    <s v="nie"/>
    <x v="8"/>
    <x v="7"/>
    <m/>
    <n v="1"/>
    <n v="0"/>
    <n v="0"/>
    <n v="0"/>
    <n v="0"/>
    <n v="1"/>
    <n v="0"/>
    <n v="0"/>
    <s v="WP/ BL"/>
  </r>
  <r>
    <n v="403"/>
    <x v="1"/>
    <x v="1"/>
    <x v="1"/>
    <x v="1"/>
    <n v="20"/>
    <x v="1"/>
    <x v="1"/>
    <x v="1"/>
    <x v="2"/>
    <x v="1"/>
    <s v="12.10.17"/>
    <x v="1"/>
    <x v="5"/>
    <x v="2"/>
    <s v="never"/>
    <n v="1"/>
    <s v="nie"/>
    <x v="1"/>
    <x v="4"/>
    <m/>
    <n v="1"/>
    <n v="0"/>
    <n v="0"/>
    <n v="0"/>
    <n v="0"/>
    <n v="1"/>
    <n v="0"/>
    <n v="0"/>
    <s v="BL + WP"/>
  </r>
  <r>
    <n v="404"/>
    <x v="1"/>
    <x v="1"/>
    <x v="2"/>
    <x v="1"/>
    <n v="23"/>
    <x v="1"/>
    <x v="2"/>
    <x v="3"/>
    <x v="1"/>
    <x v="1"/>
    <s v="12.10.17"/>
    <x v="1"/>
    <x v="5"/>
    <x v="2"/>
    <s v="never"/>
    <n v="1"/>
    <s v="nie"/>
    <x v="4"/>
    <x v="3"/>
    <m/>
    <n v="0"/>
    <n v="1"/>
    <n v="0"/>
    <n v="0"/>
    <n v="0"/>
    <n v="0"/>
    <n v="0"/>
    <n v="0"/>
    <s v="WJ"/>
  </r>
  <r>
    <n v="405"/>
    <x v="3"/>
    <x v="2"/>
    <x v="2"/>
    <x v="1"/>
    <n v="32"/>
    <x v="6"/>
    <x v="2"/>
    <x v="1"/>
    <x v="2"/>
    <x v="3"/>
    <s v="12.10.17"/>
    <x v="1"/>
    <x v="5"/>
    <x v="2"/>
    <s v="rarely"/>
    <n v="2"/>
    <s v="1x w roku"/>
    <x v="4"/>
    <x v="3"/>
    <m/>
    <n v="0"/>
    <n v="1"/>
    <n v="0"/>
    <n v="0"/>
    <n v="0"/>
    <n v="0"/>
    <n v="0"/>
    <n v="0"/>
    <s v="WJ"/>
  </r>
  <r>
    <n v="406"/>
    <x v="3"/>
    <x v="1"/>
    <x v="2"/>
    <x v="1"/>
    <n v="37"/>
    <x v="6"/>
    <x v="1"/>
    <x v="2"/>
    <x v="2"/>
    <x v="3"/>
    <s v="12.10.17"/>
    <x v="1"/>
    <x v="5"/>
    <x v="2"/>
    <s v="never"/>
    <n v="1"/>
    <s v="nie"/>
    <x v="5"/>
    <x v="3"/>
    <m/>
    <n v="0"/>
    <n v="0"/>
    <n v="1"/>
    <n v="0"/>
    <n v="0"/>
    <n v="0"/>
    <n v="0"/>
    <n v="0"/>
    <s v="U (mnożnik 5)"/>
  </r>
  <r>
    <n v="407"/>
    <x v="3"/>
    <x v="1"/>
    <x v="2"/>
    <x v="2"/>
    <n v="21"/>
    <x v="1"/>
    <x v="1"/>
    <x v="1"/>
    <x v="1"/>
    <x v="1"/>
    <s v="12.10.17"/>
    <x v="1"/>
    <x v="5"/>
    <x v="2"/>
    <s v="never"/>
    <n v="1"/>
    <s v="nie"/>
    <x v="4"/>
    <x v="3"/>
    <m/>
    <n v="0"/>
    <n v="1"/>
    <n v="0"/>
    <n v="0"/>
    <n v="0"/>
    <n v="0"/>
    <n v="0"/>
    <n v="0"/>
    <s v="WJ"/>
  </r>
  <r>
    <n v="408"/>
    <x v="3"/>
    <x v="1"/>
    <x v="1"/>
    <x v="2"/>
    <n v="23"/>
    <x v="1"/>
    <x v="1"/>
    <x v="1"/>
    <x v="1"/>
    <x v="4"/>
    <s v="12.10.17"/>
    <x v="1"/>
    <x v="5"/>
    <x v="2"/>
    <s v="never"/>
    <n v="1"/>
    <s v="nie"/>
    <x v="1"/>
    <x v="3"/>
    <m/>
    <n v="1"/>
    <n v="0"/>
    <n v="0"/>
    <n v="0"/>
    <n v="0"/>
    <n v="0"/>
    <n v="0"/>
    <n v="0"/>
    <s v="BL"/>
  </r>
  <r>
    <n v="409"/>
    <x v="3"/>
    <x v="1"/>
    <x v="1"/>
    <x v="1"/>
    <n v="68"/>
    <x v="6"/>
    <x v="1"/>
    <x v="2"/>
    <x v="2"/>
    <x v="3"/>
    <s v="12.10.17"/>
    <x v="1"/>
    <x v="5"/>
    <x v="2"/>
    <s v="regularly"/>
    <n v="4"/>
    <s v="1x w mies"/>
    <x v="2"/>
    <x v="3"/>
    <m/>
    <n v="0"/>
    <n v="0"/>
    <n v="0"/>
    <n v="0"/>
    <n v="0"/>
    <n v="0"/>
    <n v="1"/>
    <n v="0"/>
    <s v="BR"/>
  </r>
  <r>
    <n v="410"/>
    <x v="3"/>
    <x v="1"/>
    <x v="1"/>
    <x v="2"/>
    <n v="22"/>
    <x v="1"/>
    <x v="1"/>
    <x v="1"/>
    <x v="2"/>
    <x v="1"/>
    <s v="12.10.17"/>
    <x v="1"/>
    <x v="5"/>
    <x v="2"/>
    <s v="never"/>
    <n v="1"/>
    <s v="nie"/>
    <x v="1"/>
    <x v="4"/>
    <m/>
    <n v="1"/>
    <n v="0"/>
    <n v="0"/>
    <n v="0"/>
    <n v="0"/>
    <n v="1"/>
    <n v="0"/>
    <n v="0"/>
    <s v="BL/WP"/>
  </r>
  <r>
    <n v="411"/>
    <x v="2"/>
    <x v="2"/>
    <x v="1"/>
    <x v="1"/>
    <n v="20"/>
    <x v="1"/>
    <x v="2"/>
    <x v="6"/>
    <x v="2"/>
    <x v="1"/>
    <s v="12.10.17"/>
    <x v="1"/>
    <x v="5"/>
    <x v="2"/>
    <s v="occasionally"/>
    <n v="3"/>
    <s v="4x w roku"/>
    <x v="4"/>
    <x v="5"/>
    <m/>
    <n v="0"/>
    <n v="1"/>
    <n v="1"/>
    <n v="0"/>
    <n v="0"/>
    <n v="0"/>
    <n v="0"/>
    <n v="0"/>
    <s v="WJ I U (7)"/>
  </r>
  <r>
    <n v="412"/>
    <x v="2"/>
    <x v="2"/>
    <x v="1"/>
    <x v="1"/>
    <n v="42"/>
    <x v="1"/>
    <x v="1"/>
    <x v="1"/>
    <x v="1"/>
    <x v="4"/>
    <s v="12.10.17"/>
    <x v="1"/>
    <x v="5"/>
    <x v="2"/>
    <s v="never"/>
    <n v="1"/>
    <s v="nie"/>
    <x v="1"/>
    <x v="6"/>
    <m/>
    <n v="1"/>
    <n v="0"/>
    <n v="0"/>
    <n v="0"/>
    <n v="0"/>
    <n v="0"/>
    <n v="0"/>
    <n v="1"/>
    <s v="BL, LS"/>
  </r>
  <r>
    <n v="413"/>
    <x v="2"/>
    <x v="1"/>
    <x v="1"/>
    <x v="1"/>
    <n v="31"/>
    <x v="1"/>
    <x v="1"/>
    <x v="1"/>
    <x v="2"/>
    <x v="1"/>
    <s v="12.10.17"/>
    <x v="1"/>
    <x v="5"/>
    <x v="2"/>
    <s v="never"/>
    <n v="1"/>
    <s v="nie"/>
    <x v="4"/>
    <x v="3"/>
    <m/>
    <n v="0"/>
    <n v="1"/>
    <n v="0"/>
    <n v="0"/>
    <n v="0"/>
    <n v="0"/>
    <n v="0"/>
    <n v="0"/>
    <s v="WJ"/>
  </r>
  <r>
    <n v="414"/>
    <x v="2"/>
    <x v="1"/>
    <x v="2"/>
    <x v="2"/>
    <n v="24"/>
    <x v="1"/>
    <x v="2"/>
    <x v="6"/>
    <x v="2"/>
    <x v="1"/>
    <s v="12.10.17"/>
    <x v="1"/>
    <x v="5"/>
    <x v="2"/>
    <s v="never"/>
    <n v="1"/>
    <s v="nie"/>
    <x v="4"/>
    <x v="3"/>
    <m/>
    <n v="0"/>
    <n v="1"/>
    <n v="0"/>
    <n v="0"/>
    <n v="0"/>
    <n v="0"/>
    <n v="0"/>
    <n v="0"/>
    <s v="WJ"/>
  </r>
  <r>
    <n v="415"/>
    <x v="2"/>
    <x v="2"/>
    <x v="2"/>
    <x v="2"/>
    <n v="18"/>
    <x v="1"/>
    <x v="1"/>
    <x v="1"/>
    <x v="2"/>
    <x v="3"/>
    <s v="12.10.17"/>
    <x v="1"/>
    <x v="5"/>
    <x v="2"/>
    <s v="never"/>
    <n v="1"/>
    <s v="nie"/>
    <x v="1"/>
    <x v="4"/>
    <m/>
    <n v="1"/>
    <n v="0"/>
    <n v="0"/>
    <n v="0"/>
    <n v="0"/>
    <n v="1"/>
    <n v="0"/>
    <n v="0"/>
    <s v="BL + WP"/>
  </r>
  <r>
    <n v="416"/>
    <x v="5"/>
    <x v="2"/>
    <x v="2"/>
    <x v="2"/>
    <n v="22"/>
    <x v="1"/>
    <x v="1"/>
    <x v="1"/>
    <x v="1"/>
    <x v="1"/>
    <s v="12.10.17"/>
    <x v="1"/>
    <x v="5"/>
    <x v="2"/>
    <s v="never"/>
    <n v="1"/>
    <s v="nie"/>
    <x v="3"/>
    <x v="3"/>
    <m/>
    <n v="0"/>
    <n v="0"/>
    <n v="0"/>
    <n v="1"/>
    <n v="0"/>
    <n v="0"/>
    <n v="0"/>
    <n v="0"/>
    <s v="O"/>
  </r>
  <r>
    <n v="417"/>
    <x v="5"/>
    <x v="2"/>
    <x v="2"/>
    <x v="1"/>
    <n v="20"/>
    <x v="1"/>
    <x v="1"/>
    <x v="1"/>
    <x v="1"/>
    <x v="1"/>
    <s v="12.10.17"/>
    <x v="1"/>
    <x v="5"/>
    <x v="2"/>
    <s v="rarely"/>
    <n v="2"/>
    <s v="1x w roku"/>
    <x v="1"/>
    <x v="3"/>
    <m/>
    <n v="1"/>
    <n v="0"/>
    <n v="0"/>
    <n v="0"/>
    <n v="0"/>
    <n v="0"/>
    <n v="0"/>
    <n v="0"/>
    <s v="BL"/>
  </r>
  <r>
    <n v="418"/>
    <x v="5"/>
    <x v="1"/>
    <x v="2"/>
    <x v="2"/>
    <n v="19"/>
    <x v="1"/>
    <x v="1"/>
    <x v="1"/>
    <x v="2"/>
    <x v="3"/>
    <s v="12.10.17"/>
    <x v="1"/>
    <x v="5"/>
    <x v="2"/>
    <s v="never"/>
    <n v="1"/>
    <s v="nie"/>
    <x v="1"/>
    <x v="3"/>
    <m/>
    <n v="1"/>
    <n v="0"/>
    <n v="0"/>
    <n v="0"/>
    <n v="0"/>
    <n v="0"/>
    <n v="0"/>
    <n v="0"/>
    <s v="BL"/>
  </r>
  <r>
    <n v="419"/>
    <x v="5"/>
    <x v="1"/>
    <x v="2"/>
    <x v="1"/>
    <n v="35"/>
    <x v="1"/>
    <x v="1"/>
    <x v="1"/>
    <x v="2"/>
    <x v="1"/>
    <s v="12.10.17"/>
    <x v="1"/>
    <x v="5"/>
    <x v="2"/>
    <s v="regularly"/>
    <n v="4"/>
    <s v="1x w mies"/>
    <x v="4"/>
    <x v="3"/>
    <m/>
    <n v="0"/>
    <n v="1"/>
    <n v="0"/>
    <n v="0"/>
    <n v="0"/>
    <n v="0"/>
    <n v="0"/>
    <n v="0"/>
    <s v="WJ"/>
  </r>
  <r>
    <n v="420"/>
    <x v="5"/>
    <x v="1"/>
    <x v="2"/>
    <x v="1"/>
    <n v="36"/>
    <x v="2"/>
    <x v="1"/>
    <x v="7"/>
    <x v="1"/>
    <x v="4"/>
    <s v="12.10.17"/>
    <x v="1"/>
    <x v="5"/>
    <x v="2"/>
    <s v="regularly"/>
    <n v="4"/>
    <s v="1x w mies"/>
    <x v="3"/>
    <x v="3"/>
    <m/>
    <n v="0"/>
    <n v="0"/>
    <n v="0"/>
    <n v="1"/>
    <n v="0"/>
    <n v="0"/>
    <n v="0"/>
    <n v="0"/>
    <s v="O"/>
  </r>
  <r>
    <n v="421"/>
    <x v="5"/>
    <x v="2"/>
    <x v="1"/>
    <x v="1"/>
    <n v="21"/>
    <x v="1"/>
    <x v="1"/>
    <x v="1"/>
    <x v="1"/>
    <x v="1"/>
    <s v="12.10.17"/>
    <x v="1"/>
    <x v="5"/>
    <x v="2"/>
    <s v="occasionally"/>
    <n v="3"/>
    <s v="4x w roku"/>
    <x v="6"/>
    <x v="4"/>
    <m/>
    <n v="0"/>
    <n v="0"/>
    <n v="0"/>
    <n v="0"/>
    <n v="0"/>
    <n v="1"/>
    <n v="0"/>
    <n v="1"/>
    <s v="LS/WP"/>
  </r>
  <r>
    <n v="422"/>
    <x v="5"/>
    <x v="1"/>
    <x v="1"/>
    <x v="1"/>
    <n v="18"/>
    <x v="1"/>
    <x v="2"/>
    <x v="7"/>
    <x v="2"/>
    <x v="1"/>
    <s v="12.10.17"/>
    <x v="1"/>
    <x v="5"/>
    <x v="2"/>
    <s v="never"/>
    <n v="1"/>
    <s v="nie"/>
    <x v="4"/>
    <x v="3"/>
    <m/>
    <n v="0"/>
    <n v="1"/>
    <n v="0"/>
    <n v="0"/>
    <n v="0"/>
    <n v="0"/>
    <n v="0"/>
    <n v="0"/>
    <s v="WJ"/>
  </r>
  <r>
    <n v="423"/>
    <x v="5"/>
    <x v="1"/>
    <x v="1"/>
    <x v="2"/>
    <n v="68"/>
    <x v="1"/>
    <x v="1"/>
    <x v="1"/>
    <x v="2"/>
    <x v="3"/>
    <s v="12.10.17"/>
    <x v="1"/>
    <x v="5"/>
    <x v="2"/>
    <s v="never"/>
    <n v="1"/>
    <s v="nie"/>
    <x v="1"/>
    <x v="3"/>
    <m/>
    <n v="1"/>
    <n v="0"/>
    <n v="0"/>
    <n v="0"/>
    <n v="0"/>
    <n v="0"/>
    <n v="0"/>
    <n v="0"/>
    <s v="BL"/>
  </r>
  <r>
    <n v="424"/>
    <x v="5"/>
    <x v="1"/>
    <x v="1"/>
    <x v="1"/>
    <n v="21"/>
    <x v="1"/>
    <x v="1"/>
    <x v="1"/>
    <x v="1"/>
    <x v="1"/>
    <s v="12.10.17"/>
    <x v="1"/>
    <x v="5"/>
    <x v="2"/>
    <s v="never"/>
    <n v="1"/>
    <s v="nie"/>
    <x v="1"/>
    <x v="3"/>
    <m/>
    <n v="1"/>
    <n v="0"/>
    <n v="0"/>
    <n v="0"/>
    <n v="0"/>
    <n v="0"/>
    <n v="0"/>
    <n v="0"/>
    <s v="BL"/>
  </r>
  <r>
    <n v="425"/>
    <x v="4"/>
    <x v="2"/>
    <x v="1"/>
    <x v="2"/>
    <n v="37"/>
    <x v="4"/>
    <x v="1"/>
    <x v="4"/>
    <x v="2"/>
    <x v="4"/>
    <s v="16.10.17"/>
    <x v="1"/>
    <x v="5"/>
    <x v="2"/>
    <s v="rarely"/>
    <n v="2"/>
    <s v="1x w roku"/>
    <x v="5"/>
    <x v="3"/>
    <m/>
    <n v="0"/>
    <n v="0"/>
    <n v="1"/>
    <n v="0"/>
    <n v="0"/>
    <n v="0"/>
    <n v="0"/>
    <n v="0"/>
    <s v="U"/>
  </r>
  <r>
    <n v="426"/>
    <x v="4"/>
    <x v="2"/>
    <x v="1"/>
    <x v="2"/>
    <n v="39"/>
    <x v="1"/>
    <x v="1"/>
    <x v="1"/>
    <x v="1"/>
    <x v="4"/>
    <s v="16.10.17"/>
    <x v="1"/>
    <x v="5"/>
    <x v="2"/>
    <s v="occasionally"/>
    <n v="3"/>
    <s v="4x w roku"/>
    <x v="1"/>
    <x v="3"/>
    <m/>
    <n v="1"/>
    <n v="0"/>
    <n v="0"/>
    <n v="0"/>
    <n v="0"/>
    <n v="0"/>
    <n v="0"/>
    <n v="0"/>
    <s v="BL"/>
  </r>
  <r>
    <n v="427"/>
    <x v="4"/>
    <x v="1"/>
    <x v="1"/>
    <x v="1"/>
    <n v="34"/>
    <x v="1"/>
    <x v="1"/>
    <x v="1"/>
    <x v="1"/>
    <x v="4"/>
    <s v="16.10.17"/>
    <x v="1"/>
    <x v="5"/>
    <x v="2"/>
    <s v="never"/>
    <n v="1"/>
    <s v="nie"/>
    <x v="1"/>
    <x v="3"/>
    <m/>
    <n v="1"/>
    <n v="0"/>
    <n v="0"/>
    <n v="0"/>
    <n v="0"/>
    <n v="0"/>
    <n v="0"/>
    <n v="0"/>
    <s v="BL"/>
  </r>
  <r>
    <n v="428"/>
    <x v="4"/>
    <x v="1"/>
    <x v="1"/>
    <x v="2"/>
    <n v="40"/>
    <x v="4"/>
    <x v="1"/>
    <x v="4"/>
    <x v="2"/>
    <x v="1"/>
    <s v="16.10.17"/>
    <x v="1"/>
    <x v="5"/>
    <x v="2"/>
    <s v="never"/>
    <n v="1"/>
    <s v="nie"/>
    <x v="4"/>
    <x v="3"/>
    <m/>
    <n v="0"/>
    <n v="1"/>
    <n v="0"/>
    <n v="0"/>
    <n v="0"/>
    <n v="0"/>
    <n v="0"/>
    <n v="0"/>
    <s v="WJ"/>
  </r>
  <r>
    <n v="429"/>
    <x v="4"/>
    <x v="2"/>
    <x v="2"/>
    <x v="2"/>
    <n v="65"/>
    <x v="4"/>
    <x v="2"/>
    <x v="1"/>
    <x v="2"/>
    <x v="3"/>
    <s v="16.10.17"/>
    <x v="1"/>
    <x v="5"/>
    <x v="2"/>
    <s v="never"/>
    <n v="1"/>
    <s v="nie"/>
    <x v="4"/>
    <x v="3"/>
    <m/>
    <n v="0"/>
    <n v="1"/>
    <n v="0"/>
    <n v="0"/>
    <n v="0"/>
    <n v="0"/>
    <n v="0"/>
    <n v="0"/>
    <s v="WJ"/>
  </r>
  <r>
    <n v="430"/>
    <x v="4"/>
    <x v="2"/>
    <x v="2"/>
    <x v="1"/>
    <n v="22"/>
    <x v="4"/>
    <x v="1"/>
    <x v="4"/>
    <x v="1"/>
    <x v="1"/>
    <s v="16.10.17"/>
    <x v="1"/>
    <x v="5"/>
    <x v="2"/>
    <m/>
    <b v="0"/>
    <n v="0"/>
    <x v="3"/>
    <x v="3"/>
    <m/>
    <n v="0"/>
    <n v="0"/>
    <n v="0"/>
    <n v="1"/>
    <n v="0"/>
    <n v="0"/>
    <n v="0"/>
    <n v="0"/>
    <s v="O"/>
  </r>
  <r>
    <n v="431"/>
    <x v="4"/>
    <x v="2"/>
    <x v="2"/>
    <x v="2"/>
    <n v="32"/>
    <x v="4"/>
    <x v="1"/>
    <x v="4"/>
    <x v="1"/>
    <x v="1"/>
    <s v="16.10.17"/>
    <x v="1"/>
    <x v="5"/>
    <x v="2"/>
    <s v="never"/>
    <n v="1"/>
    <s v="nie"/>
    <x v="3"/>
    <x v="3"/>
    <m/>
    <n v="0"/>
    <n v="0"/>
    <n v="0"/>
    <n v="1"/>
    <n v="0"/>
    <n v="0"/>
    <n v="0"/>
    <n v="0"/>
    <s v="O"/>
  </r>
  <r>
    <n v="432"/>
    <x v="4"/>
    <x v="1"/>
    <x v="2"/>
    <x v="1"/>
    <n v="62"/>
    <x v="1"/>
    <x v="1"/>
    <x v="1"/>
    <x v="1"/>
    <x v="1"/>
    <s v="16.10.17"/>
    <x v="1"/>
    <x v="5"/>
    <x v="2"/>
    <s v="always"/>
    <n v="5"/>
    <s v="codziennie"/>
    <x v="8"/>
    <x v="3"/>
    <m/>
    <n v="0"/>
    <n v="0"/>
    <n v="0"/>
    <n v="0"/>
    <n v="0"/>
    <n v="1"/>
    <n v="0"/>
    <n v="0"/>
    <s v="WP"/>
  </r>
  <r>
    <n v="433"/>
    <x v="6"/>
    <x v="2"/>
    <x v="2"/>
    <x v="1"/>
    <n v="63"/>
    <x v="1"/>
    <x v="1"/>
    <x v="1"/>
    <x v="1"/>
    <x v="3"/>
    <s v="16.10.17"/>
    <x v="1"/>
    <x v="5"/>
    <x v="2"/>
    <s v="never"/>
    <n v="1"/>
    <s v="nie"/>
    <x v="3"/>
    <x v="3"/>
    <m/>
    <n v="0"/>
    <n v="0"/>
    <n v="0"/>
    <n v="1"/>
    <n v="0"/>
    <n v="0"/>
    <n v="0"/>
    <n v="0"/>
    <s v="O"/>
  </r>
  <r>
    <n v="434"/>
    <x v="6"/>
    <x v="1"/>
    <x v="2"/>
    <x v="1"/>
    <n v="31"/>
    <x v="3"/>
    <x v="1"/>
    <x v="5"/>
    <x v="2"/>
    <x v="3"/>
    <s v="16.10.17"/>
    <x v="1"/>
    <x v="5"/>
    <x v="2"/>
    <s v="never"/>
    <n v="1"/>
    <s v="nie"/>
    <x v="3"/>
    <x v="3"/>
    <m/>
    <n v="0"/>
    <n v="0"/>
    <n v="0"/>
    <n v="1"/>
    <n v="0"/>
    <n v="0"/>
    <n v="0"/>
    <n v="0"/>
    <s v="O"/>
  </r>
  <r>
    <n v="435"/>
    <x v="6"/>
    <x v="1"/>
    <x v="2"/>
    <x v="1"/>
    <n v="37"/>
    <x v="1"/>
    <x v="1"/>
    <x v="1"/>
    <x v="1"/>
    <x v="4"/>
    <s v="16.10.17"/>
    <x v="1"/>
    <x v="5"/>
    <x v="2"/>
    <s v="never"/>
    <n v="1"/>
    <s v="nie"/>
    <x v="5"/>
    <x v="3"/>
    <n v="1"/>
    <n v="0"/>
    <n v="0"/>
    <n v="1"/>
    <n v="0"/>
    <n v="0"/>
    <n v="0"/>
    <n v="0"/>
    <n v="0"/>
    <s v="U (1)"/>
  </r>
  <r>
    <n v="436"/>
    <x v="6"/>
    <x v="2"/>
    <x v="1"/>
    <x v="2"/>
    <n v="24"/>
    <x v="1"/>
    <x v="1"/>
    <x v="1"/>
    <x v="1"/>
    <x v="4"/>
    <s v="16.10.17"/>
    <x v="1"/>
    <x v="5"/>
    <x v="2"/>
    <s v="never"/>
    <n v="1"/>
    <s v="nie"/>
    <x v="6"/>
    <x v="3"/>
    <m/>
    <n v="0"/>
    <n v="0"/>
    <n v="0"/>
    <n v="0"/>
    <n v="0"/>
    <n v="0"/>
    <n v="0"/>
    <n v="1"/>
    <s v="BL"/>
  </r>
  <r>
    <n v="437"/>
    <x v="1"/>
    <x v="1"/>
    <x v="2"/>
    <x v="1"/>
    <n v="25"/>
    <x v="1"/>
    <x v="2"/>
    <x v="3"/>
    <x v="2"/>
    <x v="1"/>
    <s v="10.10.17"/>
    <x v="2"/>
    <x v="5"/>
    <x v="2"/>
    <s v="never"/>
    <n v="1"/>
    <s v="nie"/>
    <x v="4"/>
    <x v="3"/>
    <m/>
    <n v="0"/>
    <n v="1"/>
    <n v="0"/>
    <n v="0"/>
    <n v="0"/>
    <n v="0"/>
    <n v="0"/>
    <n v="0"/>
    <s v="WJ"/>
  </r>
  <r>
    <n v="438"/>
    <x v="1"/>
    <x v="1"/>
    <x v="1"/>
    <x v="1"/>
    <n v="40"/>
    <x v="1"/>
    <x v="1"/>
    <x v="1"/>
    <x v="2"/>
    <x v="3"/>
    <s v="10.10.17"/>
    <x v="2"/>
    <x v="5"/>
    <x v="2"/>
    <s v="never"/>
    <n v="1"/>
    <s v="nie"/>
    <x v="3"/>
    <x v="3"/>
    <m/>
    <n v="0"/>
    <n v="0"/>
    <n v="0"/>
    <n v="1"/>
    <n v="0"/>
    <n v="0"/>
    <n v="0"/>
    <n v="0"/>
    <s v="O"/>
  </r>
  <r>
    <n v="439"/>
    <x v="3"/>
    <x v="1"/>
    <x v="1"/>
    <x v="2"/>
    <n v="29"/>
    <x v="1"/>
    <x v="1"/>
    <x v="1"/>
    <x v="2"/>
    <x v="1"/>
    <s v="10.10.17"/>
    <x v="2"/>
    <x v="5"/>
    <x v="2"/>
    <s v="never"/>
    <n v="1"/>
    <s v="nie"/>
    <x v="2"/>
    <x v="3"/>
    <m/>
    <n v="0"/>
    <n v="0"/>
    <n v="0"/>
    <n v="0"/>
    <n v="0"/>
    <n v="0"/>
    <n v="1"/>
    <n v="0"/>
    <s v="BR"/>
  </r>
  <r>
    <n v="440"/>
    <x v="3"/>
    <x v="1"/>
    <x v="1"/>
    <x v="1"/>
    <n v="29"/>
    <x v="1"/>
    <x v="1"/>
    <x v="1"/>
    <x v="1"/>
    <x v="4"/>
    <s v="10.10.17"/>
    <x v="2"/>
    <x v="5"/>
    <x v="2"/>
    <s v="never"/>
    <n v="1"/>
    <s v="nie"/>
    <x v="1"/>
    <x v="3"/>
    <m/>
    <n v="1"/>
    <n v="0"/>
    <n v="0"/>
    <n v="0"/>
    <n v="0"/>
    <n v="0"/>
    <n v="0"/>
    <n v="0"/>
    <s v="BL"/>
  </r>
  <r>
    <n v="441"/>
    <x v="2"/>
    <x v="2"/>
    <x v="2"/>
    <x v="1"/>
    <n v="49"/>
    <x v="1"/>
    <x v="1"/>
    <x v="1"/>
    <x v="2"/>
    <x v="1"/>
    <s v="10.10.17"/>
    <x v="2"/>
    <x v="5"/>
    <x v="2"/>
    <s v="never"/>
    <n v="1"/>
    <s v="nie"/>
    <x v="1"/>
    <x v="3"/>
    <m/>
    <n v="1"/>
    <n v="0"/>
    <n v="0"/>
    <n v="0"/>
    <n v="0"/>
    <n v="0"/>
    <n v="0"/>
    <n v="0"/>
    <s v="BL"/>
  </r>
  <r>
    <n v="442"/>
    <x v="2"/>
    <x v="2"/>
    <x v="2"/>
    <x v="2"/>
    <n v="45"/>
    <x v="1"/>
    <x v="2"/>
    <x v="6"/>
    <x v="2"/>
    <x v="1"/>
    <s v="10.10.17"/>
    <x v="2"/>
    <x v="5"/>
    <x v="2"/>
    <s v="never"/>
    <n v="1"/>
    <s v="nie"/>
    <x v="4"/>
    <x v="3"/>
    <m/>
    <n v="0"/>
    <n v="1"/>
    <n v="0"/>
    <n v="0"/>
    <n v="0"/>
    <n v="0"/>
    <n v="0"/>
    <n v="0"/>
    <s v="WJ"/>
  </r>
  <r>
    <n v="443"/>
    <x v="2"/>
    <x v="2"/>
    <x v="2"/>
    <x v="2"/>
    <n v="44"/>
    <x v="1"/>
    <x v="1"/>
    <x v="1"/>
    <x v="1"/>
    <x v="1"/>
    <s v="10.10.17"/>
    <x v="2"/>
    <x v="5"/>
    <x v="2"/>
    <s v="never"/>
    <n v="1"/>
    <s v="nie"/>
    <x v="4"/>
    <x v="3"/>
    <m/>
    <n v="0"/>
    <n v="1"/>
    <n v="0"/>
    <n v="0"/>
    <n v="0"/>
    <n v="0"/>
    <n v="0"/>
    <n v="0"/>
    <s v="WJ"/>
  </r>
  <r>
    <n v="444"/>
    <x v="2"/>
    <x v="2"/>
    <x v="1"/>
    <x v="2"/>
    <n v="20"/>
    <x v="1"/>
    <x v="1"/>
    <x v="1"/>
    <x v="1"/>
    <x v="4"/>
    <s v="10.10.17"/>
    <x v="2"/>
    <x v="5"/>
    <x v="2"/>
    <s v="never"/>
    <n v="1"/>
    <s v="nie"/>
    <x v="5"/>
    <x v="3"/>
    <m/>
    <n v="0"/>
    <n v="0"/>
    <n v="1"/>
    <n v="0"/>
    <n v="0"/>
    <n v="0"/>
    <n v="0"/>
    <n v="0"/>
    <s v="U"/>
  </r>
  <r>
    <n v="445"/>
    <x v="2"/>
    <x v="2"/>
    <x v="1"/>
    <x v="2"/>
    <n v="41"/>
    <x v="1"/>
    <x v="1"/>
    <x v="1"/>
    <x v="2"/>
    <x v="1"/>
    <s v="10.10.17"/>
    <x v="2"/>
    <x v="5"/>
    <x v="2"/>
    <s v="rarely"/>
    <n v="2"/>
    <s v="2x w roku"/>
    <x v="2"/>
    <x v="7"/>
    <m/>
    <n v="1"/>
    <n v="0"/>
    <n v="0"/>
    <n v="0"/>
    <n v="0"/>
    <n v="0"/>
    <n v="1"/>
    <n v="0"/>
    <s v="BR+BL"/>
  </r>
  <r>
    <n v="446"/>
    <x v="2"/>
    <x v="2"/>
    <x v="1"/>
    <x v="1"/>
    <n v="18"/>
    <x v="1"/>
    <x v="1"/>
    <x v="1"/>
    <x v="2"/>
    <x v="3"/>
    <s v="10.10.17"/>
    <x v="2"/>
    <x v="5"/>
    <x v="2"/>
    <s v="never"/>
    <n v="1"/>
    <s v="nie"/>
    <x v="1"/>
    <x v="3"/>
    <m/>
    <n v="1"/>
    <n v="0"/>
    <n v="0"/>
    <n v="0"/>
    <n v="0"/>
    <n v="0"/>
    <n v="0"/>
    <n v="0"/>
    <s v="BL"/>
  </r>
  <r>
    <n v="447"/>
    <x v="2"/>
    <x v="1"/>
    <x v="1"/>
    <x v="1"/>
    <n v="22"/>
    <x v="5"/>
    <x v="1"/>
    <x v="6"/>
    <x v="2"/>
    <x v="1"/>
    <s v="10.10.17"/>
    <x v="2"/>
    <x v="5"/>
    <x v="2"/>
    <s v="never"/>
    <n v="1"/>
    <s v="nie"/>
    <x v="4"/>
    <x v="3"/>
    <m/>
    <n v="0"/>
    <n v="1"/>
    <n v="0"/>
    <n v="0"/>
    <n v="0"/>
    <n v="0"/>
    <n v="0"/>
    <n v="0"/>
    <s v="WJ"/>
  </r>
  <r>
    <n v="448"/>
    <x v="5"/>
    <x v="2"/>
    <x v="1"/>
    <x v="1"/>
    <n v="20"/>
    <x v="2"/>
    <x v="1"/>
    <x v="7"/>
    <x v="2"/>
    <x v="3"/>
    <s v="10.10.17"/>
    <x v="2"/>
    <x v="5"/>
    <x v="2"/>
    <s v="never"/>
    <n v="1"/>
    <s v="nie"/>
    <x v="8"/>
    <x v="3"/>
    <m/>
    <n v="0"/>
    <n v="0"/>
    <n v="0"/>
    <n v="0"/>
    <n v="0"/>
    <n v="1"/>
    <n v="0"/>
    <n v="0"/>
    <s v="WP"/>
  </r>
  <r>
    <n v="449"/>
    <x v="5"/>
    <x v="2"/>
    <x v="1"/>
    <x v="1"/>
    <n v="24"/>
    <x v="1"/>
    <x v="2"/>
    <x v="7"/>
    <x v="2"/>
    <x v="2"/>
    <s v="10.10.17"/>
    <x v="2"/>
    <x v="5"/>
    <x v="2"/>
    <s v="never"/>
    <n v="1"/>
    <s v="nie"/>
    <x v="4"/>
    <x v="3"/>
    <m/>
    <n v="0"/>
    <n v="1"/>
    <n v="0"/>
    <n v="0"/>
    <n v="0"/>
    <n v="0"/>
    <n v="0"/>
    <n v="0"/>
    <s v="WJ (ale Lotto i tak ustawia mafia)"/>
  </r>
  <r>
    <n v="450"/>
    <x v="5"/>
    <x v="2"/>
    <x v="1"/>
    <x v="2"/>
    <n v="52"/>
    <x v="1"/>
    <x v="1"/>
    <x v="1"/>
    <x v="1"/>
    <x v="4"/>
    <s v="10.10.17"/>
    <x v="2"/>
    <x v="5"/>
    <x v="2"/>
    <s v="never"/>
    <n v="1"/>
    <s v="nie"/>
    <x v="3"/>
    <x v="3"/>
    <m/>
    <n v="0"/>
    <n v="0"/>
    <n v="0"/>
    <n v="1"/>
    <n v="0"/>
    <n v="0"/>
    <n v="0"/>
    <n v="0"/>
    <s v="O"/>
  </r>
  <r>
    <n v="451"/>
    <x v="5"/>
    <x v="1"/>
    <x v="1"/>
    <x v="1"/>
    <n v="37"/>
    <x v="1"/>
    <x v="2"/>
    <x v="7"/>
    <x v="2"/>
    <x v="1"/>
    <s v="10.10.17"/>
    <x v="2"/>
    <x v="5"/>
    <x v="2"/>
    <s v="never"/>
    <n v="1"/>
    <s v="nie"/>
    <x v="1"/>
    <x v="3"/>
    <m/>
    <n v="1"/>
    <n v="0"/>
    <n v="0"/>
    <n v="0"/>
    <n v="0"/>
    <n v="0"/>
    <n v="0"/>
    <n v="0"/>
    <s v="BL"/>
  </r>
  <r>
    <n v="452"/>
    <x v="5"/>
    <x v="1"/>
    <x v="1"/>
    <x v="1"/>
    <n v="44"/>
    <x v="1"/>
    <x v="1"/>
    <x v="1"/>
    <x v="1"/>
    <x v="1"/>
    <s v="10.10.17"/>
    <x v="2"/>
    <x v="5"/>
    <x v="2"/>
    <s v="regularly"/>
    <n v="4"/>
    <s v="1x w mies"/>
    <x v="2"/>
    <x v="3"/>
    <m/>
    <n v="0"/>
    <n v="0"/>
    <n v="0"/>
    <n v="0"/>
    <n v="0"/>
    <n v="0"/>
    <n v="1"/>
    <n v="0"/>
    <s v="BR"/>
  </r>
  <r>
    <n v="453"/>
    <x v="5"/>
    <x v="1"/>
    <x v="2"/>
    <x v="2"/>
    <n v="22"/>
    <x v="2"/>
    <x v="2"/>
    <x v="1"/>
    <x v="1"/>
    <x v="1"/>
    <s v="10.10.17"/>
    <x v="2"/>
    <x v="5"/>
    <x v="2"/>
    <s v="never"/>
    <n v="1"/>
    <s v="nie"/>
    <x v="4"/>
    <x v="3"/>
    <m/>
    <n v="0"/>
    <n v="1"/>
    <n v="0"/>
    <n v="0"/>
    <n v="0"/>
    <n v="0"/>
    <n v="0"/>
    <n v="0"/>
    <s v="WJ"/>
  </r>
  <r>
    <n v="454"/>
    <x v="5"/>
    <x v="2"/>
    <x v="2"/>
    <x v="2"/>
    <n v="62"/>
    <x v="1"/>
    <x v="1"/>
    <x v="1"/>
    <x v="1"/>
    <x v="4"/>
    <s v="10.10.17"/>
    <x v="2"/>
    <x v="5"/>
    <x v="2"/>
    <s v="always"/>
    <n v="5"/>
    <s v="1x w tyg"/>
    <x v="5"/>
    <x v="3"/>
    <m/>
    <n v="0"/>
    <n v="0"/>
    <n v="1"/>
    <n v="0"/>
    <n v="0"/>
    <n v="0"/>
    <n v="0"/>
    <n v="0"/>
    <s v="U"/>
  </r>
  <r>
    <n v="455"/>
    <x v="5"/>
    <x v="2"/>
    <x v="2"/>
    <x v="2"/>
    <n v="18"/>
    <x v="1"/>
    <x v="2"/>
    <x v="7"/>
    <x v="2"/>
    <x v="4"/>
    <s v="10.10.17"/>
    <x v="2"/>
    <x v="5"/>
    <x v="2"/>
    <s v="rarely"/>
    <n v="2"/>
    <s v="1x w roku"/>
    <x v="6"/>
    <x v="5"/>
    <m/>
    <n v="0"/>
    <n v="0"/>
    <n v="1"/>
    <n v="0"/>
    <n v="0"/>
    <n v="0"/>
    <n v="0"/>
    <n v="1"/>
    <s v="woli liczby po prawej"/>
  </r>
  <r>
    <n v="456"/>
    <x v="5"/>
    <x v="2"/>
    <x v="2"/>
    <x v="2"/>
    <n v="35"/>
    <x v="1"/>
    <x v="1"/>
    <x v="1"/>
    <x v="2"/>
    <x v="1"/>
    <s v="10.10.17"/>
    <x v="2"/>
    <x v="5"/>
    <x v="2"/>
    <s v="rarely"/>
    <n v="2"/>
    <s v="1x w roku"/>
    <x v="4"/>
    <x v="3"/>
    <m/>
    <n v="0"/>
    <n v="1"/>
    <n v="0"/>
    <n v="0"/>
    <n v="0"/>
    <n v="0"/>
    <n v="0"/>
    <n v="0"/>
    <s v="WJ"/>
  </r>
  <r>
    <n v="457"/>
    <x v="4"/>
    <x v="2"/>
    <x v="2"/>
    <x v="2"/>
    <n v="63"/>
    <x v="1"/>
    <x v="1"/>
    <x v="1"/>
    <x v="2"/>
    <x v="4"/>
    <s v="10.10.17"/>
    <x v="2"/>
    <x v="5"/>
    <x v="2"/>
    <s v="never"/>
    <n v="1"/>
    <s v="nie"/>
    <x v="1"/>
    <x v="3"/>
    <m/>
    <n v="1"/>
    <n v="0"/>
    <n v="0"/>
    <n v="0"/>
    <n v="0"/>
    <n v="0"/>
    <n v="0"/>
    <n v="0"/>
    <s v="BL"/>
  </r>
  <r>
    <n v="458"/>
    <x v="4"/>
    <x v="1"/>
    <x v="2"/>
    <x v="2"/>
    <n v="42"/>
    <x v="4"/>
    <x v="1"/>
    <x v="4"/>
    <x v="2"/>
    <x v="1"/>
    <s v="10.10.17"/>
    <x v="2"/>
    <x v="5"/>
    <x v="2"/>
    <s v="never"/>
    <n v="1"/>
    <s v="nie"/>
    <x v="4"/>
    <x v="3"/>
    <m/>
    <n v="0"/>
    <n v="1"/>
    <n v="0"/>
    <n v="0"/>
    <n v="0"/>
    <n v="0"/>
    <n v="0"/>
    <n v="0"/>
    <s v="WJ"/>
  </r>
  <r>
    <n v="459"/>
    <x v="4"/>
    <x v="1"/>
    <x v="2"/>
    <x v="1"/>
    <n v="43"/>
    <x v="1"/>
    <x v="1"/>
    <x v="1"/>
    <x v="1"/>
    <x v="1"/>
    <s v="10.10.17"/>
    <x v="2"/>
    <x v="5"/>
    <x v="2"/>
    <s v="regularly"/>
    <n v="4"/>
    <s v="2x w mies"/>
    <x v="3"/>
    <x v="3"/>
    <m/>
    <n v="0"/>
    <n v="0"/>
    <n v="0"/>
    <n v="1"/>
    <n v="0"/>
    <n v="0"/>
    <n v="0"/>
    <n v="0"/>
    <s v="bo po lewej"/>
  </r>
  <r>
    <n v="460"/>
    <x v="4"/>
    <x v="2"/>
    <x v="1"/>
    <x v="2"/>
    <n v="37"/>
    <x v="4"/>
    <x v="1"/>
    <x v="4"/>
    <x v="2"/>
    <x v="3"/>
    <s v="10.10.17"/>
    <x v="2"/>
    <x v="5"/>
    <x v="2"/>
    <s v="never"/>
    <n v="1"/>
    <s v="nie"/>
    <x v="3"/>
    <x v="3"/>
    <m/>
    <n v="0"/>
    <n v="0"/>
    <n v="0"/>
    <n v="1"/>
    <n v="0"/>
    <n v="0"/>
    <n v="0"/>
    <n v="0"/>
    <s v="O"/>
  </r>
  <r>
    <n v="461"/>
    <x v="4"/>
    <x v="2"/>
    <x v="1"/>
    <x v="1"/>
    <n v="26"/>
    <x v="1"/>
    <x v="1"/>
    <x v="1"/>
    <x v="2"/>
    <x v="1"/>
    <s v="10.10.17"/>
    <x v="2"/>
    <x v="5"/>
    <x v="2"/>
    <s v="never"/>
    <n v="1"/>
    <s v="nie"/>
    <x v="1"/>
    <x v="3"/>
    <m/>
    <n v="1"/>
    <n v="0"/>
    <n v="0"/>
    <n v="0"/>
    <n v="0"/>
    <n v="0"/>
    <n v="0"/>
    <n v="0"/>
    <s v="BL"/>
  </r>
  <r>
    <n v="462"/>
    <x v="4"/>
    <x v="2"/>
    <x v="1"/>
    <x v="1"/>
    <n v="23"/>
    <x v="1"/>
    <x v="1"/>
    <x v="1"/>
    <x v="1"/>
    <x v="1"/>
    <s v="10.10.17"/>
    <x v="2"/>
    <x v="5"/>
    <x v="2"/>
    <s v="never"/>
    <n v="1"/>
    <s v="nie"/>
    <x v="1"/>
    <x v="3"/>
    <m/>
    <n v="1"/>
    <n v="0"/>
    <n v="0"/>
    <n v="0"/>
    <n v="0"/>
    <n v="0"/>
    <n v="0"/>
    <n v="0"/>
    <s v="BL"/>
  </r>
  <r>
    <n v="463"/>
    <x v="4"/>
    <x v="1"/>
    <x v="1"/>
    <x v="2"/>
    <n v="47"/>
    <x v="4"/>
    <x v="1"/>
    <x v="4"/>
    <x v="2"/>
    <x v="4"/>
    <s v="10.10.17"/>
    <x v="2"/>
    <x v="5"/>
    <x v="2"/>
    <s v="never"/>
    <n v="1"/>
    <s v="nie"/>
    <x v="7"/>
    <x v="3"/>
    <m/>
    <n v="0"/>
    <n v="0"/>
    <n v="0"/>
    <n v="0"/>
    <n v="0"/>
    <n v="0"/>
    <n v="0"/>
    <n v="0"/>
    <s v="nie lubi chybił trafił"/>
  </r>
  <r>
    <n v="464"/>
    <x v="6"/>
    <x v="1"/>
    <x v="1"/>
    <x v="1"/>
    <n v="52"/>
    <x v="1"/>
    <x v="1"/>
    <x v="1"/>
    <x v="2"/>
    <x v="1"/>
    <s v="10.10.17"/>
    <x v="2"/>
    <x v="5"/>
    <x v="2"/>
    <s v="rarely"/>
    <n v="2"/>
    <s v="1x w roku"/>
    <x v="1"/>
    <x v="3"/>
    <m/>
    <n v="1"/>
    <n v="0"/>
    <n v="0"/>
    <n v="0"/>
    <n v="0"/>
    <n v="0"/>
    <n v="0"/>
    <n v="0"/>
    <s v="BL"/>
  </r>
  <r>
    <n v="465"/>
    <x v="6"/>
    <x v="2"/>
    <x v="1"/>
    <x v="1"/>
    <n v="34"/>
    <x v="3"/>
    <x v="1"/>
    <x v="5"/>
    <x v="2"/>
    <x v="3"/>
    <s v="10.10.17"/>
    <x v="2"/>
    <x v="5"/>
    <x v="2"/>
    <s v="never"/>
    <n v="1"/>
    <s v="nie"/>
    <x v="6"/>
    <x v="3"/>
    <m/>
    <n v="0"/>
    <n v="0"/>
    <n v="0"/>
    <n v="0"/>
    <n v="0"/>
    <n v="0"/>
    <n v="0"/>
    <n v="1"/>
    <s v="bo pełne liczby"/>
  </r>
  <r>
    <n v="466"/>
    <x v="6"/>
    <x v="2"/>
    <x v="1"/>
    <x v="2"/>
    <n v="21"/>
    <x v="1"/>
    <x v="1"/>
    <x v="1"/>
    <x v="1"/>
    <x v="1"/>
    <s v="10.10.17"/>
    <x v="2"/>
    <x v="5"/>
    <x v="2"/>
    <s v="never"/>
    <n v="1"/>
    <s v="nie"/>
    <x v="8"/>
    <x v="3"/>
    <m/>
    <n v="0"/>
    <n v="0"/>
    <n v="0"/>
    <n v="0"/>
    <n v="0"/>
    <n v="1"/>
    <n v="0"/>
    <n v="0"/>
    <s v="WP"/>
  </r>
  <r>
    <n v="467"/>
    <x v="6"/>
    <x v="2"/>
    <x v="1"/>
    <x v="2"/>
    <n v="22"/>
    <x v="3"/>
    <x v="1"/>
    <x v="5"/>
    <x v="1"/>
    <x v="4"/>
    <s v="10.10.17"/>
    <x v="2"/>
    <x v="5"/>
    <x v="2"/>
    <s v="never"/>
    <n v="1"/>
    <s v="nie"/>
    <x v="2"/>
    <x v="3"/>
    <m/>
    <n v="0"/>
    <n v="0"/>
    <n v="0"/>
    <n v="0"/>
    <n v="0"/>
    <n v="0"/>
    <n v="1"/>
    <n v="0"/>
    <s v="BR"/>
  </r>
  <r>
    <n v="468"/>
    <x v="6"/>
    <x v="2"/>
    <x v="1"/>
    <x v="1"/>
    <n v="49"/>
    <x v="3"/>
    <x v="2"/>
    <x v="1"/>
    <x v="1"/>
    <x v="1"/>
    <s v="10.10.17"/>
    <x v="2"/>
    <x v="5"/>
    <x v="2"/>
    <s v="never"/>
    <n v="1"/>
    <s v="nie"/>
    <x v="4"/>
    <x v="3"/>
    <m/>
    <n v="0"/>
    <n v="1"/>
    <n v="0"/>
    <n v="0"/>
    <n v="0"/>
    <n v="0"/>
    <n v="0"/>
    <n v="0"/>
    <s v="WJ"/>
  </r>
  <r>
    <n v="469"/>
    <x v="6"/>
    <x v="2"/>
    <x v="2"/>
    <x v="1"/>
    <n v="30"/>
    <x v="3"/>
    <x v="1"/>
    <x v="5"/>
    <x v="2"/>
    <x v="3"/>
    <s v="10.10.17"/>
    <x v="2"/>
    <x v="5"/>
    <x v="2"/>
    <s v="never"/>
    <n v="1"/>
    <s v="nie"/>
    <x v="3"/>
    <x v="3"/>
    <m/>
    <n v="0"/>
    <n v="0"/>
    <n v="0"/>
    <n v="1"/>
    <n v="0"/>
    <n v="0"/>
    <n v="0"/>
    <n v="0"/>
    <s v="bo po lewej"/>
  </r>
  <r>
    <n v="470"/>
    <x v="6"/>
    <x v="2"/>
    <x v="2"/>
    <x v="2"/>
    <n v="36"/>
    <x v="3"/>
    <x v="1"/>
    <x v="5"/>
    <x v="1"/>
    <x v="4"/>
    <s v="10.10.17"/>
    <x v="2"/>
    <x v="5"/>
    <x v="2"/>
    <s v="occasionally"/>
    <n v="3"/>
    <s v="4x w roku"/>
    <x v="3"/>
    <x v="3"/>
    <m/>
    <n v="0"/>
    <n v="0"/>
    <n v="0"/>
    <n v="1"/>
    <n v="0"/>
    <n v="0"/>
    <n v="0"/>
    <n v="0"/>
    <s v="O"/>
  </r>
  <r>
    <n v="471"/>
    <x v="6"/>
    <x v="1"/>
    <x v="2"/>
    <x v="1"/>
    <n v="59"/>
    <x v="3"/>
    <x v="1"/>
    <x v="5"/>
    <x v="2"/>
    <x v="1"/>
    <s v="10.10.17"/>
    <x v="2"/>
    <x v="5"/>
    <x v="2"/>
    <s v="never"/>
    <n v="1"/>
    <s v="nie"/>
    <x v="5"/>
    <x v="3"/>
    <m/>
    <n v="0"/>
    <n v="0"/>
    <n v="1"/>
    <n v="0"/>
    <n v="0"/>
    <n v="0"/>
    <n v="0"/>
    <n v="0"/>
    <s v="U"/>
  </r>
  <r>
    <n v="472"/>
    <x v="6"/>
    <x v="2"/>
    <x v="2"/>
    <x v="1"/>
    <n v="22"/>
    <x v="3"/>
    <x v="1"/>
    <x v="5"/>
    <x v="1"/>
    <x v="4"/>
    <s v="10.10.17"/>
    <x v="2"/>
    <x v="5"/>
    <x v="2"/>
    <s v="occasionally"/>
    <n v="3"/>
    <s v="4x w roku"/>
    <x v="5"/>
    <x v="3"/>
    <m/>
    <n v="0"/>
    <n v="0"/>
    <n v="1"/>
    <n v="0"/>
    <n v="0"/>
    <n v="0"/>
    <n v="0"/>
    <n v="0"/>
    <s v="U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74">
  <r>
    <s v="id"/>
    <s v="type_nR"/>
    <s v="nR_side"/>
    <s v="price_difference"/>
    <s v="sex"/>
    <s v="age"/>
    <x v="0"/>
    <x v="0"/>
    <s v="choice_post_switch"/>
    <x v="0"/>
    <x v="0"/>
  </r>
  <r>
    <n v="1"/>
    <s v="L1"/>
    <s v="P"/>
    <n v="50"/>
    <s v="M"/>
    <n v="22"/>
    <x v="1"/>
    <x v="1"/>
    <s v="R"/>
    <x v="1"/>
    <x v="1"/>
  </r>
  <r>
    <n v="2"/>
    <s v="H1"/>
    <s v="P"/>
    <n v="50"/>
    <s v="K"/>
    <n v="24"/>
    <x v="1"/>
    <x v="1"/>
    <s v="R"/>
    <x v="1"/>
    <x v="1"/>
  </r>
  <r>
    <n v="3"/>
    <s v="L5"/>
    <s v="P"/>
    <n v="50"/>
    <s v="K"/>
    <n v="21"/>
    <x v="1"/>
    <x v="1"/>
    <s v="R"/>
    <x v="1"/>
    <x v="1"/>
  </r>
  <r>
    <n v="4"/>
    <s v="M1"/>
    <s v="P"/>
    <n v="50"/>
    <s v="M"/>
    <n v="23"/>
    <x v="1"/>
    <x v="1"/>
    <s v="R"/>
    <x v="1"/>
    <x v="2"/>
  </r>
  <r>
    <n v="5"/>
    <s v="H5"/>
    <s v="P"/>
    <n v="50"/>
    <s v="M"/>
    <n v="42"/>
    <x v="1"/>
    <x v="1"/>
    <s v="R"/>
    <x v="1"/>
    <x v="1"/>
  </r>
  <r>
    <n v="6"/>
    <s v="M5"/>
    <s v="P"/>
    <n v="50"/>
    <s v="K"/>
    <n v="28"/>
    <x v="1"/>
    <x v="1"/>
    <s v="R"/>
    <x v="1"/>
    <x v="1"/>
  </r>
  <r>
    <n v="7"/>
    <s v="L1"/>
    <s v="L"/>
    <n v="50"/>
    <s v="K"/>
    <n v="57"/>
    <x v="1"/>
    <x v="1"/>
    <s v="R"/>
    <x v="1"/>
    <x v="3"/>
  </r>
  <r>
    <n v="8"/>
    <s v="H1"/>
    <s v="L"/>
    <n v="50"/>
    <s v="K"/>
    <n v="25"/>
    <x v="1"/>
    <x v="1"/>
    <s v="R"/>
    <x v="1"/>
    <x v="4"/>
  </r>
  <r>
    <n v="9"/>
    <s v="M1"/>
    <s v="L"/>
    <n v="50"/>
    <s v="M"/>
    <n v="24"/>
    <x v="1"/>
    <x v="1"/>
    <s v="R"/>
    <x v="1"/>
    <x v="1"/>
  </r>
  <r>
    <n v="10"/>
    <s v="L5"/>
    <s v="L"/>
    <n v="50"/>
    <s v="M"/>
    <n v="24"/>
    <x v="1"/>
    <x v="2"/>
    <s v="L5"/>
    <x v="1"/>
    <x v="1"/>
  </r>
  <r>
    <n v="11"/>
    <s v="H5"/>
    <s v="L"/>
    <n v="50"/>
    <s v="M"/>
    <n v="26"/>
    <x v="2"/>
    <x v="2"/>
    <s v="R"/>
    <x v="1"/>
    <x v="1"/>
  </r>
  <r>
    <n v="12"/>
    <s v="M5"/>
    <s v="L"/>
    <n v="50"/>
    <s v="M"/>
    <n v="26"/>
    <x v="1"/>
    <x v="1"/>
    <s v="R"/>
    <x v="1"/>
    <x v="3"/>
  </r>
  <r>
    <n v="13"/>
    <s v="L1"/>
    <s v="P"/>
    <n v="1"/>
    <s v="K"/>
    <n v="26"/>
    <x v="1"/>
    <x v="2"/>
    <s v="L1"/>
    <x v="2"/>
    <x v="1"/>
  </r>
  <r>
    <n v="14"/>
    <s v="H1"/>
    <s v="P"/>
    <n v="1"/>
    <s v="M"/>
    <n v="25"/>
    <x v="1"/>
    <x v="1"/>
    <s v="R"/>
    <x v="2"/>
    <x v="1"/>
  </r>
  <r>
    <n v="15"/>
    <s v="M1"/>
    <s v="P"/>
    <n v="1"/>
    <s v="M"/>
    <n v="30"/>
    <x v="1"/>
    <x v="2"/>
    <s v="M1"/>
    <x v="2"/>
    <x v="1"/>
  </r>
  <r>
    <n v="16"/>
    <s v="H5"/>
    <s v="P"/>
    <n v="1"/>
    <s v="M"/>
    <n v="24"/>
    <x v="2"/>
    <x v="2"/>
    <s v="R"/>
    <x v="2"/>
    <x v="1"/>
  </r>
  <r>
    <n v="17"/>
    <s v="M5"/>
    <s v="P"/>
    <n v="1"/>
    <s v="M"/>
    <n v="22"/>
    <x v="3"/>
    <x v="1"/>
    <s v="M5"/>
    <x v="2"/>
    <x v="1"/>
  </r>
  <r>
    <n v="18"/>
    <s v="H1"/>
    <s v="L"/>
    <n v="1"/>
    <s v="M"/>
    <n v="21"/>
    <x v="1"/>
    <x v="2"/>
    <s v="H1"/>
    <x v="2"/>
    <x v="1"/>
  </r>
  <r>
    <n v="19"/>
    <s v="H5"/>
    <s v="L"/>
    <n v="1"/>
    <s v="M"/>
    <n v="23"/>
    <x v="2"/>
    <x v="1"/>
    <s v="H5"/>
    <x v="2"/>
    <x v="4"/>
  </r>
  <r>
    <n v="20"/>
    <s v="L1"/>
    <s v="P"/>
    <n v="1"/>
    <s v="K"/>
    <n v="25"/>
    <x v="1"/>
    <x v="2"/>
    <s v="L1"/>
    <x v="2"/>
    <x v="1"/>
  </r>
  <r>
    <n v="21"/>
    <s v="L5"/>
    <s v="P"/>
    <n v="1"/>
    <s v="K"/>
    <n v="24"/>
    <x v="1"/>
    <x v="1"/>
    <s v="R"/>
    <x v="1"/>
    <x v="1"/>
  </r>
  <r>
    <n v="22"/>
    <s v="L5"/>
    <s v="P"/>
    <n v="50"/>
    <s v="K"/>
    <n v="26"/>
    <x v="1"/>
    <x v="1"/>
    <s v="R"/>
    <x v="1"/>
    <x v="1"/>
  </r>
  <r>
    <n v="23"/>
    <s v="L5"/>
    <s v="P"/>
    <n v="50"/>
    <s v="K"/>
    <n v="25"/>
    <x v="1"/>
    <x v="1"/>
    <s v="R"/>
    <x v="1"/>
    <x v="1"/>
  </r>
  <r>
    <n v="24"/>
    <s v="L5"/>
    <s v="P"/>
    <n v="50"/>
    <s v="M"/>
    <n v="26"/>
    <x v="1"/>
    <x v="1"/>
    <s v="R"/>
    <x v="1"/>
    <x v="1"/>
  </r>
  <r>
    <n v="25"/>
    <s v="L5"/>
    <s v="P"/>
    <n v="50"/>
    <s v="K"/>
    <n v="24"/>
    <x v="1"/>
    <x v="1"/>
    <s v="R"/>
    <x v="1"/>
    <x v="1"/>
  </r>
  <r>
    <n v="26"/>
    <s v="L5"/>
    <s v="P"/>
    <n v="1"/>
    <s v="M"/>
    <n v="72"/>
    <x v="1"/>
    <x v="2"/>
    <s v="L5"/>
    <x v="1"/>
    <x v="1"/>
  </r>
  <r>
    <n v="27"/>
    <s v="L1"/>
    <s v="L"/>
    <n v="1"/>
    <s v="M"/>
    <n v="86"/>
    <x v="1"/>
    <x v="2"/>
    <s v="L1"/>
    <x v="1"/>
    <x v="1"/>
  </r>
  <r>
    <n v="28"/>
    <s v="M1"/>
    <s v="L"/>
    <n v="1"/>
    <s v="K"/>
    <n v="47"/>
    <x v="4"/>
    <x v="1"/>
    <s v="M1"/>
    <x v="1"/>
    <x v="3"/>
  </r>
  <r>
    <n v="29"/>
    <s v="L5"/>
    <s v="L"/>
    <n v="1"/>
    <s v="K"/>
    <n v="64"/>
    <x v="1"/>
    <x v="1"/>
    <s v="R"/>
    <x v="1"/>
    <x v="3"/>
  </r>
  <r>
    <n v="30"/>
    <s v="M5"/>
    <s v="L"/>
    <n v="1"/>
    <s v="M"/>
    <n v="68"/>
    <x v="1"/>
    <x v="1"/>
    <s v="R"/>
    <x v="1"/>
    <x v="4"/>
  </r>
  <r>
    <n v="31"/>
    <s v="L1"/>
    <s v="P"/>
    <n v="50"/>
    <s v="M"/>
    <n v="44"/>
    <x v="1"/>
    <x v="1"/>
    <s v="R"/>
    <x v="1"/>
    <x v="2"/>
  </r>
  <r>
    <n v="32"/>
    <s v="H1"/>
    <s v="P"/>
    <n v="50"/>
    <s v="M"/>
    <n v="83"/>
    <x v="1"/>
    <x v="1"/>
    <s v="R"/>
    <x v="1"/>
    <x v="1"/>
  </r>
  <r>
    <n v="33"/>
    <s v="M1"/>
    <s v="P"/>
    <n v="50"/>
    <s v="K"/>
    <n v="61"/>
    <x v="1"/>
    <x v="1"/>
    <s v="R"/>
    <x v="1"/>
    <x v="3"/>
  </r>
  <r>
    <n v="34"/>
    <s v="H5"/>
    <s v="P"/>
    <n v="50"/>
    <s v="M"/>
    <n v="20"/>
    <x v="1"/>
    <x v="1"/>
    <s v="R"/>
    <x v="1"/>
    <x v="3"/>
  </r>
  <r>
    <n v="35"/>
    <s v="M5"/>
    <s v="L"/>
    <n v="50"/>
    <s v="K"/>
    <n v="19"/>
    <x v="1"/>
    <x v="1"/>
    <s v="R"/>
    <x v="1"/>
    <x v="1"/>
  </r>
  <r>
    <n v="36"/>
    <s v="L1"/>
    <s v="P"/>
    <n v="50"/>
    <s v="M"/>
    <n v="52"/>
    <x v="1"/>
    <x v="1"/>
    <s v="R"/>
    <x v="1"/>
    <x v="3"/>
  </r>
  <r>
    <n v="37"/>
    <s v="H5"/>
    <s v="P"/>
    <n v="50"/>
    <s v="M"/>
    <n v="25"/>
    <x v="1"/>
    <x v="1"/>
    <s v="R"/>
    <x v="1"/>
    <x v="4"/>
  </r>
  <r>
    <n v="38"/>
    <s v="M5"/>
    <s v="P"/>
    <n v="50"/>
    <s v="M"/>
    <n v="37"/>
    <x v="1"/>
    <x v="1"/>
    <s v="R"/>
    <x v="1"/>
    <x v="3"/>
  </r>
  <r>
    <n v="39"/>
    <s v="L1"/>
    <s v="L"/>
    <n v="50"/>
    <s v="K"/>
    <n v="84"/>
    <x v="1"/>
    <x v="1"/>
    <s v="R"/>
    <x v="1"/>
    <x v="3"/>
  </r>
  <r>
    <n v="40"/>
    <s v="H1"/>
    <s v="L"/>
    <n v="50"/>
    <s v="K"/>
    <n v="73"/>
    <x v="1"/>
    <x v="2"/>
    <s v="H1"/>
    <x v="1"/>
    <x v="3"/>
  </r>
  <r>
    <n v="41"/>
    <s v="M1"/>
    <s v="L"/>
    <n v="50"/>
    <s v="M"/>
    <n v="46"/>
    <x v="4"/>
    <x v="1"/>
    <s v="M1"/>
    <x v="2"/>
    <x v="1"/>
  </r>
  <r>
    <n v="42"/>
    <s v="L5"/>
    <s v="L"/>
    <n v="50"/>
    <s v="M"/>
    <n v="9"/>
    <x v="1"/>
    <x v="1"/>
    <s v="R"/>
    <x v="2"/>
    <x v="2"/>
  </r>
  <r>
    <n v="43"/>
    <s v="H5"/>
    <s v="L"/>
    <n v="50"/>
    <s v="M"/>
    <n v="33"/>
    <x v="1"/>
    <x v="1"/>
    <s v="R"/>
    <x v="2"/>
    <x v="1"/>
  </r>
  <r>
    <n v="44"/>
    <s v="M5"/>
    <s v="P"/>
    <n v="1"/>
    <s v="K"/>
    <n v="25"/>
    <x v="3"/>
    <x v="1"/>
    <s v="M5"/>
    <x v="1"/>
    <x v="1"/>
  </r>
  <r>
    <n v="45"/>
    <s v="H5"/>
    <s v="P"/>
    <n v="50"/>
    <s v="K"/>
    <n v="38"/>
    <x v="2"/>
    <x v="1"/>
    <s v="H5"/>
    <x v="1"/>
    <x v="1"/>
  </r>
  <r>
    <n v="46"/>
    <s v="L1"/>
    <s v="L"/>
    <n v="1"/>
    <s v="M"/>
    <n v="47"/>
    <x v="1"/>
    <x v="1"/>
    <s v="R"/>
    <x v="1"/>
    <x v="4"/>
  </r>
  <r>
    <n v="47"/>
    <s v="L1"/>
    <s v="L"/>
    <n v="1"/>
    <s v="K"/>
    <n v="37"/>
    <x v="1"/>
    <x v="1"/>
    <s v="R"/>
    <x v="1"/>
    <x v="1"/>
  </r>
  <r>
    <n v="48"/>
    <s v="L1"/>
    <s v="L"/>
    <n v="1"/>
    <s v="M"/>
    <n v="25"/>
    <x v="1"/>
    <x v="2"/>
    <s v="L1"/>
    <x v="1"/>
    <x v="1"/>
  </r>
  <r>
    <n v="49"/>
    <s v="L1"/>
    <s v="L"/>
    <n v="1"/>
    <s v="K"/>
    <n v="32"/>
    <x v="1"/>
    <x v="1"/>
    <s v="R"/>
    <x v="1"/>
    <x v="4"/>
  </r>
  <r>
    <n v="50"/>
    <s v="L5"/>
    <s v="L"/>
    <n v="1"/>
    <s v="K"/>
    <n v="56"/>
    <x v="1"/>
    <x v="1"/>
    <s v="R"/>
    <x v="1"/>
    <x v="4"/>
  </r>
  <r>
    <n v="51"/>
    <s v="L5"/>
    <s v="L"/>
    <n v="1"/>
    <s v="M"/>
    <n v="27"/>
    <x v="1"/>
    <x v="1"/>
    <s v="R"/>
    <x v="1"/>
    <x v="3"/>
  </r>
  <r>
    <n v="52"/>
    <s v="L5"/>
    <s v="L"/>
    <n v="1"/>
    <s v="M"/>
    <n v="60"/>
    <x v="1"/>
    <x v="1"/>
    <s v="R"/>
    <x v="1"/>
    <x v="1"/>
  </r>
  <r>
    <n v="53"/>
    <s v="L5"/>
    <s v="L"/>
    <n v="1"/>
    <s v="M"/>
    <n v="31"/>
    <x v="1"/>
    <x v="2"/>
    <s v="L5"/>
    <x v="1"/>
    <x v="1"/>
  </r>
  <r>
    <n v="54"/>
    <s v="M5"/>
    <s v="L"/>
    <n v="1"/>
    <s v="M"/>
    <n v="19"/>
    <x v="1"/>
    <x v="1"/>
    <s v="R"/>
    <x v="1"/>
    <x v="4"/>
  </r>
  <r>
    <n v="55"/>
    <s v="M5"/>
    <s v="L"/>
    <n v="1"/>
    <s v="K"/>
    <n v="17"/>
    <x v="1"/>
    <x v="1"/>
    <s v="R"/>
    <x v="1"/>
    <x v="3"/>
  </r>
  <r>
    <n v="56"/>
    <s v="M5"/>
    <s v="L"/>
    <n v="1"/>
    <s v="M"/>
    <n v="21"/>
    <x v="1"/>
    <x v="1"/>
    <s v="R"/>
    <x v="1"/>
    <x v="4"/>
  </r>
  <r>
    <n v="57"/>
    <s v="M5"/>
    <s v="L"/>
    <n v="1"/>
    <s v="K"/>
    <n v="20"/>
    <x v="1"/>
    <x v="1"/>
    <s v="R"/>
    <x v="1"/>
    <x v="3"/>
  </r>
  <r>
    <n v="58"/>
    <s v="L1"/>
    <s v="L"/>
    <n v="50"/>
    <s v="M"/>
    <n v="25"/>
    <x v="1"/>
    <x v="1"/>
    <s v="R"/>
    <x v="1"/>
    <x v="1"/>
  </r>
  <r>
    <n v="59"/>
    <s v="L1"/>
    <s v="L"/>
    <n v="50"/>
    <s v="M"/>
    <n v="30"/>
    <x v="1"/>
    <x v="2"/>
    <s v="L1"/>
    <x v="1"/>
    <x v="1"/>
  </r>
  <r>
    <n v="60"/>
    <s v="M5"/>
    <s v="L"/>
    <n v="50"/>
    <s v="K"/>
    <n v="21"/>
    <x v="3"/>
    <x v="1"/>
    <s v="M5"/>
    <x v="1"/>
    <x v="3"/>
  </r>
  <r>
    <n v="61"/>
    <s v="H1"/>
    <s v="P"/>
    <n v="1"/>
    <s v="M"/>
    <n v="33"/>
    <x v="1"/>
    <x v="2"/>
    <s v="H1"/>
    <x v="1"/>
    <x v="1"/>
  </r>
  <r>
    <n v="62"/>
    <s v="H1"/>
    <s v="P"/>
    <n v="1"/>
    <s v="K"/>
    <n v="33"/>
    <x v="1"/>
    <x v="1"/>
    <s v="R"/>
    <x v="1"/>
    <x v="4"/>
  </r>
  <r>
    <n v="63"/>
    <s v="H1"/>
    <s v="P"/>
    <n v="1"/>
    <s v="K"/>
    <n v="32"/>
    <x v="1"/>
    <x v="1"/>
    <s v="R"/>
    <x v="1"/>
    <x v="1"/>
  </r>
  <r>
    <n v="64"/>
    <s v="H1"/>
    <s v="P"/>
    <n v="1"/>
    <s v="M"/>
    <n v="22"/>
    <x v="1"/>
    <x v="1"/>
    <s v="R"/>
    <x v="1"/>
    <x v="4"/>
  </r>
  <r>
    <n v="65"/>
    <s v="H1"/>
    <s v="P"/>
    <n v="1"/>
    <s v="K"/>
    <n v="42"/>
    <x v="1"/>
    <x v="1"/>
    <s v="R"/>
    <x v="1"/>
    <x v="3"/>
  </r>
  <r>
    <n v="66"/>
    <s v="H1"/>
    <s v="P"/>
    <n v="1"/>
    <s v="M"/>
    <n v="44"/>
    <x v="1"/>
    <x v="1"/>
    <s v="R"/>
    <x v="1"/>
    <x v="1"/>
  </r>
  <r>
    <n v="67"/>
    <s v="H1"/>
    <s v="L"/>
    <n v="1"/>
    <s v="K"/>
    <n v="41"/>
    <x v="1"/>
    <x v="1"/>
    <s v="R"/>
    <x v="1"/>
    <x v="1"/>
  </r>
  <r>
    <n v="68"/>
    <s v="H1"/>
    <s v="L"/>
    <n v="1"/>
    <s v="K"/>
    <n v="30"/>
    <x v="1"/>
    <x v="2"/>
    <s v="H1"/>
    <x v="1"/>
    <x v="1"/>
  </r>
  <r>
    <n v="69"/>
    <s v="H1"/>
    <s v="P"/>
    <n v="50"/>
    <s v="K"/>
    <n v="28"/>
    <x v="1"/>
    <x v="1"/>
    <s v="R"/>
    <x v="1"/>
    <x v="3"/>
  </r>
  <r>
    <n v="70"/>
    <s v="H1"/>
    <s v="P"/>
    <n v="50"/>
    <s v="K"/>
    <n v="21"/>
    <x v="5"/>
    <x v="1"/>
    <s v="H1"/>
    <x v="1"/>
    <x v="3"/>
  </r>
  <r>
    <n v="71"/>
    <s v="H1"/>
    <s v="P"/>
    <n v="50"/>
    <s v="K"/>
    <n v="32"/>
    <x v="1"/>
    <x v="1"/>
    <s v="R"/>
    <x v="2"/>
    <x v="1"/>
  </r>
  <r>
    <n v="72"/>
    <s v="M1"/>
    <s v="P"/>
    <n v="1"/>
    <s v="K"/>
    <n v="15"/>
    <x v="1"/>
    <x v="1"/>
    <s v="R"/>
    <x v="2"/>
    <x v="3"/>
  </r>
  <r>
    <n v="73"/>
    <s v="M1"/>
    <s v="P"/>
    <n v="1"/>
    <s v="K"/>
    <n v="40"/>
    <x v="4"/>
    <x v="1"/>
    <s v="M1"/>
    <x v="2"/>
    <x v="4"/>
  </r>
  <r>
    <n v="74"/>
    <s v="M1"/>
    <s v="P"/>
    <n v="1"/>
    <s v="M"/>
    <n v="37"/>
    <x v="4"/>
    <x v="2"/>
    <s v="R"/>
    <x v="2"/>
    <x v="3"/>
  </r>
  <r>
    <n v="75"/>
    <s v="M1"/>
    <s v="P"/>
    <n v="1"/>
    <s v="K"/>
    <n v="36"/>
    <x v="4"/>
    <x v="1"/>
    <s v="M1"/>
    <x v="2"/>
    <x v="4"/>
  </r>
  <r>
    <n v="76"/>
    <s v="L5"/>
    <s v="L"/>
    <n v="50"/>
    <s v="K"/>
    <n v="51"/>
    <x v="1"/>
    <x v="1"/>
    <s v="R"/>
    <x v="2"/>
    <x v="3"/>
  </r>
  <r>
    <n v="77"/>
    <s v="L5"/>
    <s v="L"/>
    <n v="50"/>
    <s v="K"/>
    <n v="15"/>
    <x v="6"/>
    <x v="1"/>
    <s v="L5"/>
    <x v="2"/>
    <x v="3"/>
  </r>
  <r>
    <n v="78"/>
    <s v="L5"/>
    <s v="L"/>
    <n v="50"/>
    <s v="M"/>
    <n v="31"/>
    <x v="1"/>
    <x v="1"/>
    <s v="R"/>
    <x v="1"/>
    <x v="4"/>
  </r>
  <r>
    <n v="79"/>
    <s v="H5"/>
    <s v="P"/>
    <n v="1"/>
    <s v="K"/>
    <n v="34"/>
    <x v="1"/>
    <x v="1"/>
    <s v="R"/>
    <x v="1"/>
    <x v="3"/>
  </r>
  <r>
    <n v="80"/>
    <s v="H5"/>
    <s v="P"/>
    <n v="1"/>
    <s v="K"/>
    <n v="21"/>
    <x v="1"/>
    <x v="1"/>
    <s v="R"/>
    <x v="1"/>
    <x v="1"/>
  </r>
  <r>
    <n v="81"/>
    <s v="H5"/>
    <s v="P"/>
    <n v="1"/>
    <s v="K"/>
    <n v="70"/>
    <x v="1"/>
    <x v="1"/>
    <s v="R"/>
    <x v="1"/>
    <x v="4"/>
  </r>
  <r>
    <n v="82"/>
    <s v="H5"/>
    <s v="P"/>
    <n v="1"/>
    <s v="K"/>
    <n v="47"/>
    <x v="1"/>
    <x v="1"/>
    <s v="R"/>
    <x v="2"/>
    <x v="2"/>
  </r>
  <r>
    <n v="83"/>
    <s v="H5"/>
    <s v="P"/>
    <n v="1"/>
    <s v="M"/>
    <n v="30"/>
    <x v="1"/>
    <x v="1"/>
    <s v="R"/>
    <x v="2"/>
    <x v="3"/>
  </r>
  <r>
    <n v="84"/>
    <s v="H5"/>
    <s v="P"/>
    <n v="1"/>
    <s v="K"/>
    <n v="44"/>
    <x v="2"/>
    <x v="1"/>
    <s v="H5"/>
    <x v="2"/>
    <x v="1"/>
  </r>
  <r>
    <n v="85"/>
    <s v="M5"/>
    <s v="P"/>
    <n v="50"/>
    <s v="K"/>
    <n v="57"/>
    <x v="3"/>
    <x v="1"/>
    <s v="M5"/>
    <x v="1"/>
    <x v="4"/>
  </r>
  <r>
    <n v="86"/>
    <s v="M5"/>
    <s v="P"/>
    <n v="50"/>
    <s v="M"/>
    <n v="33"/>
    <x v="3"/>
    <x v="1"/>
    <s v="M5"/>
    <x v="1"/>
    <x v="1"/>
  </r>
  <r>
    <n v="87"/>
    <s v="M5"/>
    <s v="P"/>
    <n v="50"/>
    <s v="K"/>
    <n v="43"/>
    <x v="1"/>
    <x v="1"/>
    <s v="R"/>
    <x v="1"/>
    <x v="4"/>
  </r>
  <r>
    <n v="88"/>
    <s v="M5"/>
    <s v="P"/>
    <n v="50"/>
    <s v="M"/>
    <n v="45"/>
    <x v="1"/>
    <x v="1"/>
    <s v="R"/>
    <x v="1"/>
    <x v="4"/>
  </r>
  <r>
    <n v="89"/>
    <s v="H5"/>
    <s v="P"/>
    <n v="50"/>
    <s v="M"/>
    <n v="33"/>
    <x v="2"/>
    <x v="1"/>
    <s v="H5"/>
    <x v="1"/>
    <x v="1"/>
  </r>
  <r>
    <n v="90"/>
    <s v="H5"/>
    <s v="P"/>
    <n v="50"/>
    <s v="K"/>
    <n v="23"/>
    <x v="1"/>
    <x v="1"/>
    <s v="R"/>
    <x v="1"/>
    <x v="1"/>
  </r>
  <r>
    <n v="91"/>
    <s v="H5"/>
    <s v="P"/>
    <n v="50"/>
    <s v="K"/>
    <n v="71"/>
    <x v="1"/>
    <x v="1"/>
    <s v="R"/>
    <x v="1"/>
    <x v="4"/>
  </r>
  <r>
    <n v="92"/>
    <s v="H5"/>
    <s v="P"/>
    <n v="50"/>
    <s v="K"/>
    <n v="43"/>
    <x v="2"/>
    <x v="1"/>
    <s v="H5"/>
    <x v="1"/>
    <x v="1"/>
  </r>
  <r>
    <n v="93"/>
    <s v="M1"/>
    <s v="L"/>
    <n v="1"/>
    <s v="M"/>
    <n v="23"/>
    <x v="1"/>
    <x v="1"/>
    <s v="R"/>
    <x v="2"/>
    <x v="1"/>
  </r>
  <r>
    <n v="94"/>
    <s v="M1"/>
    <s v="L"/>
    <n v="1"/>
    <s v="M"/>
    <n v="38"/>
    <x v="1"/>
    <x v="1"/>
    <s v="R"/>
    <x v="2"/>
    <x v="1"/>
  </r>
  <r>
    <n v="95"/>
    <s v="M1"/>
    <s v="L"/>
    <n v="1"/>
    <s v="K"/>
    <n v="65"/>
    <x v="1"/>
    <x v="1"/>
    <s v="R"/>
    <x v="2"/>
    <x v="4"/>
  </r>
  <r>
    <n v="96"/>
    <s v="M1"/>
    <s v="L"/>
    <n v="1"/>
    <s v="M"/>
    <n v="32"/>
    <x v="1"/>
    <x v="1"/>
    <s v="R"/>
    <x v="2"/>
    <x v="1"/>
  </r>
  <r>
    <n v="97"/>
    <s v="M1"/>
    <s v="P"/>
    <n v="50"/>
    <s v="M"/>
    <n v="25"/>
    <x v="1"/>
    <x v="2"/>
    <s v="M1"/>
    <x v="1"/>
    <x v="1"/>
  </r>
  <r>
    <n v="98"/>
    <s v="L5"/>
    <s v="P"/>
    <n v="1"/>
    <s v="M"/>
    <n v="32"/>
    <x v="1"/>
    <x v="1"/>
    <s v="R"/>
    <x v="1"/>
    <x v="1"/>
  </r>
  <r>
    <n v="99"/>
    <s v="L5"/>
    <s v="P"/>
    <n v="1"/>
    <s v="M"/>
    <n v="36"/>
    <x v="1"/>
    <x v="1"/>
    <s v="R"/>
    <x v="1"/>
    <x v="4"/>
  </r>
  <r>
    <n v="100"/>
    <s v="L5"/>
    <s v="P"/>
    <n v="1"/>
    <s v="M"/>
    <n v="32"/>
    <x v="6"/>
    <x v="1"/>
    <s v="L5"/>
    <x v="1"/>
    <x v="1"/>
  </r>
  <r>
    <n v="101"/>
    <s v="L5"/>
    <s v="P"/>
    <n v="1"/>
    <s v="M"/>
    <n v="26"/>
    <x v="1"/>
    <x v="1"/>
    <s v="R"/>
    <x v="1"/>
    <x v="3"/>
  </r>
  <r>
    <n v="102"/>
    <s v="L5"/>
    <s v="P"/>
    <n v="1"/>
    <s v="M"/>
    <n v="39"/>
    <x v="6"/>
    <x v="2"/>
    <s v="R"/>
    <x v="1"/>
    <x v="1"/>
  </r>
  <r>
    <n v="103"/>
    <s v="L5"/>
    <s v="P"/>
    <n v="1"/>
    <s v="M"/>
    <n v="28"/>
    <x v="1"/>
    <x v="1"/>
    <s v="R"/>
    <x v="1"/>
    <x v="3"/>
  </r>
  <r>
    <n v="104"/>
    <s v="L5"/>
    <s v="P"/>
    <n v="1"/>
    <s v="M"/>
    <n v="34"/>
    <x v="1"/>
    <x v="1"/>
    <s v="R"/>
    <x v="1"/>
    <x v="4"/>
  </r>
  <r>
    <n v="105"/>
    <s v="L5"/>
    <s v="P"/>
    <n v="1"/>
    <s v="K"/>
    <n v="26"/>
    <x v="1"/>
    <x v="2"/>
    <s v="L5"/>
    <x v="1"/>
    <x v="4"/>
  </r>
  <r>
    <n v="106"/>
    <s v="M5"/>
    <s v="P"/>
    <n v="50"/>
    <s v="K"/>
    <n v="65"/>
    <x v="3"/>
    <x v="1"/>
    <s v="M5"/>
    <x v="2"/>
    <x v="1"/>
  </r>
  <r>
    <n v="107"/>
    <s v="M5"/>
    <s v="P"/>
    <n v="50"/>
    <s v="K"/>
    <n v="52"/>
    <x v="3"/>
    <x v="1"/>
    <s v="M5"/>
    <x v="2"/>
    <x v="1"/>
  </r>
  <r>
    <n v="108"/>
    <s v="H1"/>
    <s v="L"/>
    <n v="50"/>
    <s v="K"/>
    <n v="41"/>
    <x v="5"/>
    <x v="2"/>
    <s v="R"/>
    <x v="2"/>
    <x v="4"/>
  </r>
  <r>
    <n v="109"/>
    <s v="H1"/>
    <s v="L"/>
    <n v="50"/>
    <s v="K"/>
    <n v="39"/>
    <x v="5"/>
    <x v="1"/>
    <s v="H1"/>
    <x v="2"/>
    <x v="4"/>
  </r>
  <r>
    <n v="110"/>
    <s v="H1"/>
    <s v="L"/>
    <n v="50"/>
    <s v="M"/>
    <n v="31"/>
    <x v="1"/>
    <x v="2"/>
    <s v="H1"/>
    <x v="2"/>
    <x v="1"/>
  </r>
  <r>
    <n v="111"/>
    <s v="L1"/>
    <s v="L"/>
    <n v="50"/>
    <s v="K"/>
    <n v="35"/>
    <x v="7"/>
    <x v="1"/>
    <s v="L1"/>
    <x v="2"/>
    <x v="3"/>
  </r>
  <r>
    <n v="112"/>
    <s v="L1"/>
    <s v="L"/>
    <n v="50"/>
    <s v="K"/>
    <n v="26"/>
    <x v="1"/>
    <x v="1"/>
    <s v="R"/>
    <x v="2"/>
    <x v="3"/>
  </r>
  <r>
    <n v="113"/>
    <s v="L1"/>
    <s v="L"/>
    <n v="50"/>
    <s v="K"/>
    <n v="39"/>
    <x v="1"/>
    <x v="1"/>
    <s v="R"/>
    <x v="2"/>
    <x v="1"/>
  </r>
  <r>
    <n v="114"/>
    <s v="L1"/>
    <s v="L"/>
    <n v="50"/>
    <s v="K"/>
    <n v="26"/>
    <x v="1"/>
    <x v="1"/>
    <s v="R"/>
    <x v="2"/>
    <x v="1"/>
  </r>
  <r>
    <n v="115"/>
    <s v="L1"/>
    <s v="L"/>
    <n v="50"/>
    <s v="K"/>
    <n v="38"/>
    <x v="1"/>
    <x v="1"/>
    <s v="R"/>
    <x v="2"/>
    <x v="4"/>
  </r>
  <r>
    <n v="116"/>
    <s v="L1"/>
    <s v="P"/>
    <n v="1"/>
    <s v="K"/>
    <n v="24"/>
    <x v="1"/>
    <x v="1"/>
    <s v="R"/>
    <x v="1"/>
    <x v="4"/>
  </r>
  <r>
    <n v="117"/>
    <s v="L1"/>
    <s v="P"/>
    <n v="1"/>
    <s v="M"/>
    <n v="56"/>
    <x v="1"/>
    <x v="2"/>
    <s v="L1"/>
    <x v="1"/>
    <x v="4"/>
  </r>
  <r>
    <n v="118"/>
    <s v="L1"/>
    <s v="L"/>
    <n v="1"/>
    <s v="M"/>
    <n v="28"/>
    <x v="1"/>
    <x v="1"/>
    <s v="R"/>
    <x v="1"/>
    <x v="1"/>
  </r>
  <r>
    <n v="119"/>
    <s v="L1"/>
    <s v="L"/>
    <n v="1"/>
    <s v="K"/>
    <n v="58"/>
    <x v="1"/>
    <x v="1"/>
    <s v="R"/>
    <x v="1"/>
    <x v="4"/>
  </r>
  <r>
    <n v="120"/>
    <s v="L1"/>
    <s v="P"/>
    <n v="1"/>
    <s v="K"/>
    <n v="35"/>
    <x v="1"/>
    <x v="1"/>
    <s v="R"/>
    <x v="1"/>
    <x v="4"/>
  </r>
  <r>
    <n v="121"/>
    <s v="L1"/>
    <s v="P"/>
    <n v="1"/>
    <s v="K"/>
    <n v="34"/>
    <x v="1"/>
    <x v="1"/>
    <s v="R"/>
    <x v="1"/>
    <x v="3"/>
  </r>
  <r>
    <n v="122"/>
    <s v="L1"/>
    <s v="P"/>
    <n v="1"/>
    <s v="K"/>
    <n v="36"/>
    <x v="1"/>
    <x v="1"/>
    <s v="R"/>
    <x v="1"/>
    <x v="1"/>
  </r>
  <r>
    <n v="123"/>
    <s v="L1"/>
    <s v="P"/>
    <n v="1"/>
    <s v="K"/>
    <n v="26"/>
    <x v="1"/>
    <x v="1"/>
    <s v="R"/>
    <x v="1"/>
    <x v="1"/>
  </r>
  <r>
    <n v="124"/>
    <s v="M5"/>
    <s v="P"/>
    <n v="1"/>
    <s v="K"/>
    <n v="26"/>
    <x v="1"/>
    <x v="1"/>
    <s v="R"/>
    <x v="1"/>
    <x v="1"/>
  </r>
  <r>
    <n v="125"/>
    <s v="M5"/>
    <s v="P"/>
    <n v="1"/>
    <s v="M"/>
    <n v="30"/>
    <x v="1"/>
    <x v="1"/>
    <s v="R"/>
    <x v="1"/>
    <x v="3"/>
  </r>
  <r>
    <n v="126"/>
    <s v="M5"/>
    <s v="P"/>
    <n v="1"/>
    <s v="K"/>
    <n v="63"/>
    <x v="3"/>
    <x v="1"/>
    <s v="M5"/>
    <x v="1"/>
    <x v="4"/>
  </r>
  <r>
    <n v="127"/>
    <s v="M5"/>
    <s v="P"/>
    <n v="1"/>
    <s v="M"/>
    <n v="26"/>
    <x v="1"/>
    <x v="1"/>
    <s v="R"/>
    <x v="1"/>
    <x v="4"/>
  </r>
  <r>
    <n v="128"/>
    <s v="M5"/>
    <s v="P"/>
    <n v="1"/>
    <s v="M"/>
    <n v="25"/>
    <x v="1"/>
    <x v="2"/>
    <s v="M5"/>
    <x v="1"/>
    <x v="1"/>
  </r>
  <r>
    <n v="129"/>
    <s v="M1"/>
    <s v="P"/>
    <n v="1"/>
    <s v="M"/>
    <n v="32"/>
    <x v="1"/>
    <x v="2"/>
    <s v="M1"/>
    <x v="2"/>
    <x v="1"/>
  </r>
  <r>
    <n v="130"/>
    <s v="M1"/>
    <s v="P"/>
    <n v="1"/>
    <s v="K"/>
    <n v="39"/>
    <x v="1"/>
    <x v="1"/>
    <s v="R"/>
    <x v="2"/>
    <x v="1"/>
  </r>
  <r>
    <n v="131"/>
    <s v="M1"/>
    <s v="P"/>
    <n v="1"/>
    <s v="M"/>
    <n v="66"/>
    <x v="1"/>
    <x v="1"/>
    <s v="R"/>
    <x v="2"/>
    <x v="3"/>
  </r>
  <r>
    <n v="132"/>
    <s v="M1"/>
    <s v="P"/>
    <n v="1"/>
    <s v="K"/>
    <n v="66"/>
    <x v="1"/>
    <x v="1"/>
    <s v="R"/>
    <x v="2"/>
    <x v="3"/>
  </r>
  <r>
    <n v="133"/>
    <s v="M1"/>
    <s v="P"/>
    <n v="1"/>
    <s v="M"/>
    <n v="35"/>
    <x v="1"/>
    <x v="2"/>
    <s v="M1"/>
    <x v="2"/>
    <x v="1"/>
  </r>
  <r>
    <n v="134"/>
    <s v="H1"/>
    <s v="P"/>
    <n v="1"/>
    <s v="K"/>
    <n v="49"/>
    <x v="1"/>
    <x v="1"/>
    <s v="R"/>
    <x v="2"/>
    <x v="4"/>
  </r>
  <r>
    <n v="135"/>
    <s v="H1"/>
    <s v="P"/>
    <n v="1"/>
    <s v="K"/>
    <n v="39"/>
    <x v="1"/>
    <x v="1"/>
    <s v="R"/>
    <x v="2"/>
    <x v="3"/>
  </r>
  <r>
    <n v="136"/>
    <s v="H1"/>
    <s v="P"/>
    <n v="1"/>
    <s v="M"/>
    <n v="40"/>
    <x v="5"/>
    <x v="1"/>
    <s v="H1"/>
    <x v="2"/>
    <x v="1"/>
  </r>
  <r>
    <n v="137"/>
    <s v="H1"/>
    <s v="P"/>
    <n v="1"/>
    <s v="K"/>
    <n v="40"/>
    <x v="5"/>
    <x v="1"/>
    <s v="H1"/>
    <x v="2"/>
    <x v="3"/>
  </r>
  <r>
    <n v="138"/>
    <s v="L1"/>
    <s v="L"/>
    <n v="50"/>
    <s v="K"/>
    <n v="22"/>
    <x v="7"/>
    <x v="1"/>
    <s v="L1"/>
    <x v="2"/>
    <x v="3"/>
  </r>
  <r>
    <n v="139"/>
    <s v="L1"/>
    <s v="L"/>
    <n v="50"/>
    <s v="M"/>
    <n v="28"/>
    <x v="1"/>
    <x v="1"/>
    <s v="R"/>
    <x v="2"/>
    <x v="1"/>
  </r>
  <r>
    <n v="140"/>
    <s v="L1"/>
    <s v="L"/>
    <n v="50"/>
    <s v="M"/>
    <n v="30"/>
    <x v="1"/>
    <x v="1"/>
    <s v="R"/>
    <x v="2"/>
    <x v="1"/>
  </r>
  <r>
    <n v="141"/>
    <s v="L1"/>
    <s v="L"/>
    <n v="50"/>
    <s v="K"/>
    <n v="23"/>
    <x v="1"/>
    <x v="1"/>
    <s v="R"/>
    <x v="2"/>
    <x v="1"/>
  </r>
  <r>
    <n v="142"/>
    <s v="L1"/>
    <s v="L"/>
    <n v="50"/>
    <s v="K"/>
    <n v="20"/>
    <x v="1"/>
    <x v="1"/>
    <s v="R"/>
    <x v="2"/>
    <x v="4"/>
  </r>
  <r>
    <n v="143"/>
    <s v="L1"/>
    <s v="L"/>
    <n v="50"/>
    <s v="K"/>
    <n v="62"/>
    <x v="1"/>
    <x v="1"/>
    <s v="R"/>
    <x v="2"/>
    <x v="1"/>
  </r>
  <r>
    <n v="144"/>
    <s v="L1"/>
    <s v="L"/>
    <n v="50"/>
    <s v="K"/>
    <n v="62"/>
    <x v="1"/>
    <x v="1"/>
    <s v="R"/>
    <x v="2"/>
    <x v="3"/>
  </r>
  <r>
    <n v="145"/>
    <s v="L1"/>
    <s v="L"/>
    <n v="50"/>
    <s v="M"/>
    <n v="28"/>
    <x v="1"/>
    <x v="1"/>
    <s v="R"/>
    <x v="2"/>
    <x v="1"/>
  </r>
  <r>
    <n v="146"/>
    <s v="L1"/>
    <s v="L"/>
    <n v="50"/>
    <s v="K"/>
    <n v="61"/>
    <x v="7"/>
    <x v="1"/>
    <s v="L1"/>
    <x v="2"/>
    <x v="3"/>
  </r>
  <r>
    <n v="147"/>
    <s v="L5"/>
    <s v="L"/>
    <n v="1"/>
    <s v="K"/>
    <n v="39"/>
    <x v="1"/>
    <x v="1"/>
    <s v="R"/>
    <x v="2"/>
    <x v="3"/>
  </r>
  <r>
    <n v="148"/>
    <s v="L5"/>
    <s v="L"/>
    <n v="1"/>
    <s v="K"/>
    <n v="25"/>
    <x v="1"/>
    <x v="1"/>
    <s v="R"/>
    <x v="2"/>
    <x v="4"/>
  </r>
  <r>
    <n v="149"/>
    <s v="L5"/>
    <s v="L"/>
    <n v="1"/>
    <s v="K"/>
    <n v="61"/>
    <x v="1"/>
    <x v="1"/>
    <s v="R"/>
    <x v="2"/>
    <x v="4"/>
  </r>
  <r>
    <n v="150"/>
    <s v="L5"/>
    <s v="P"/>
    <n v="1"/>
    <s v="K"/>
    <n v="40"/>
    <x v="6"/>
    <x v="1"/>
    <s v="L5"/>
    <x v="2"/>
    <x v="3"/>
  </r>
  <r>
    <n v="151"/>
    <s v="L5"/>
    <s v="P"/>
    <n v="1"/>
    <s v="M"/>
    <n v="49"/>
    <x v="1"/>
    <x v="1"/>
    <s v="R"/>
    <x v="2"/>
    <x v="3"/>
  </r>
  <r>
    <n v="152"/>
    <s v="L5"/>
    <s v="P"/>
    <n v="1"/>
    <s v="M"/>
    <n v="57"/>
    <x v="1"/>
    <x v="1"/>
    <s v="R"/>
    <x v="2"/>
    <x v="2"/>
  </r>
  <r>
    <n v="153"/>
    <s v="L5"/>
    <s v="L"/>
    <n v="50"/>
    <s v="K"/>
    <n v="65"/>
    <x v="6"/>
    <x v="1"/>
    <s v="L5"/>
    <x v="1"/>
    <x v="3"/>
  </r>
  <r>
    <n v="154"/>
    <s v="M5"/>
    <s v="L"/>
    <n v="50"/>
    <s v="K"/>
    <n v="58"/>
    <x v="3"/>
    <x v="1"/>
    <s v="M5"/>
    <x v="2"/>
    <x v="3"/>
  </r>
  <r>
    <n v="155"/>
    <s v="M5"/>
    <s v="L"/>
    <n v="50"/>
    <s v="K"/>
    <n v="40"/>
    <x v="3"/>
    <x v="1"/>
    <s v="M5"/>
    <x v="2"/>
    <x v="3"/>
  </r>
  <r>
    <n v="156"/>
    <s v="L5"/>
    <s v="P"/>
    <n v="50"/>
    <s v="K"/>
    <n v="45"/>
    <x v="6"/>
    <x v="1"/>
    <s v="L5"/>
    <x v="2"/>
    <x v="4"/>
  </r>
  <r>
    <n v="157"/>
    <s v="M5"/>
    <s v="L"/>
    <n v="50"/>
    <s v="K"/>
    <n v="71"/>
    <x v="1"/>
    <x v="1"/>
    <s v="R"/>
    <x v="1"/>
    <x v="2"/>
  </r>
  <r>
    <n v="158"/>
    <s v="M5"/>
    <s v="L"/>
    <n v="1"/>
    <s v="K"/>
    <n v="60"/>
    <x v="1"/>
    <x v="1"/>
    <s v="R"/>
    <x v="2"/>
    <x v="2"/>
  </r>
  <r>
    <n v="159"/>
    <s v="M5"/>
    <s v="L"/>
    <n v="1"/>
    <s v="K"/>
    <n v="20"/>
    <x v="1"/>
    <x v="1"/>
    <s v="R"/>
    <x v="2"/>
    <x v="3"/>
  </r>
  <r>
    <n v="160"/>
    <s v="M5"/>
    <s v="P"/>
    <n v="1"/>
    <s v="K"/>
    <n v="26"/>
    <x v="1"/>
    <x v="1"/>
    <s v="R"/>
    <x v="2"/>
    <x v="1"/>
  </r>
  <r>
    <n v="161"/>
    <s v="M5"/>
    <s v="P"/>
    <n v="1"/>
    <s v="K"/>
    <n v="24"/>
    <x v="1"/>
    <x v="1"/>
    <s v="R"/>
    <x v="2"/>
    <x v="1"/>
  </r>
  <r>
    <n v="162"/>
    <s v="M5"/>
    <s v="P"/>
    <n v="1"/>
    <s v="K"/>
    <n v="56"/>
    <x v="3"/>
    <x v="1"/>
    <s v="M5"/>
    <x v="2"/>
    <x v="3"/>
  </r>
  <r>
    <n v="163"/>
    <s v="L5"/>
    <s v="P"/>
    <n v="50"/>
    <s v="K"/>
    <n v="82"/>
    <x v="1"/>
    <x v="1"/>
    <s v="R"/>
    <x v="2"/>
    <x v="3"/>
  </r>
  <r>
    <n v="164"/>
    <s v="L5"/>
    <s v="P"/>
    <n v="50"/>
    <s v="K"/>
    <n v="64"/>
    <x v="6"/>
    <x v="1"/>
    <s v="L5"/>
    <x v="2"/>
    <x v="3"/>
  </r>
  <r>
    <n v="165"/>
    <s v="H5"/>
    <s v="P"/>
    <n v="50"/>
    <s v="K"/>
    <n v="50"/>
    <x v="2"/>
    <x v="2"/>
    <s v="R"/>
    <x v="2"/>
    <x v="1"/>
  </r>
  <r>
    <n v="166"/>
    <s v="H5"/>
    <s v="P"/>
    <n v="50"/>
    <s v="K"/>
    <n v="42"/>
    <x v="1"/>
    <x v="1"/>
    <s v="R"/>
    <x v="2"/>
    <x v="3"/>
  </r>
  <r>
    <n v="167"/>
    <s v="H5"/>
    <s v="P"/>
    <n v="50"/>
    <s v="K"/>
    <n v="77"/>
    <x v="2"/>
    <x v="1"/>
    <s v="H5"/>
    <x v="2"/>
    <x v="2"/>
  </r>
  <r>
    <n v="168"/>
    <s v="H1"/>
    <s v="L"/>
    <n v="1"/>
    <s v="M"/>
    <n v="21"/>
    <x v="1"/>
    <x v="1"/>
    <s v="R"/>
    <x v="2"/>
    <x v="1"/>
  </r>
  <r>
    <n v="169"/>
    <s v="H1"/>
    <s v="L"/>
    <n v="1"/>
    <s v="M"/>
    <n v="20"/>
    <x v="1"/>
    <x v="1"/>
    <s v="R"/>
    <x v="1"/>
    <x v="4"/>
  </r>
  <r>
    <n v="170"/>
    <s v="H1"/>
    <s v="L"/>
    <n v="50"/>
    <s v="M"/>
    <n v="20"/>
    <x v="1"/>
    <x v="1"/>
    <s v="R"/>
    <x v="2"/>
    <x v="1"/>
  </r>
  <r>
    <n v="171"/>
    <s v="H1"/>
    <s v="L"/>
    <n v="50"/>
    <s v="M"/>
    <n v="25"/>
    <x v="5"/>
    <x v="1"/>
    <s v="H1"/>
    <x v="1"/>
    <x v="3"/>
  </r>
  <r>
    <n v="172"/>
    <s v="H1"/>
    <s v="P"/>
    <n v="50"/>
    <s v="M"/>
    <n v="18"/>
    <x v="5"/>
    <x v="1"/>
    <s v="H1"/>
    <x v="2"/>
    <x v="1"/>
  </r>
  <r>
    <n v="173"/>
    <s v="M5"/>
    <s v="L"/>
    <n v="1"/>
    <s v="M"/>
    <n v="48"/>
    <x v="1"/>
    <x v="1"/>
    <s v="R"/>
    <x v="2"/>
    <x v="3"/>
  </r>
  <r>
    <n v="174"/>
    <s v="M5"/>
    <s v="L"/>
    <n v="50"/>
    <s v="K"/>
    <n v="65"/>
    <x v="1"/>
    <x v="1"/>
    <s v="R"/>
    <x v="2"/>
    <x v="4"/>
  </r>
  <r>
    <n v="175"/>
    <s v="M5"/>
    <s v="L"/>
    <n v="50"/>
    <s v="K"/>
    <n v="24"/>
    <x v="3"/>
    <x v="1"/>
    <s v="M5"/>
    <x v="1"/>
    <x v="4"/>
  </r>
  <r>
    <n v="176"/>
    <s v="M5"/>
    <s v="P"/>
    <n v="50"/>
    <s v="M"/>
    <n v="21"/>
    <x v="3"/>
    <x v="1"/>
    <s v="M5"/>
    <x v="2"/>
    <x v="1"/>
  </r>
  <r>
    <n v="177"/>
    <s v="L1"/>
    <s v="L"/>
    <n v="1"/>
    <s v="M"/>
    <n v="22"/>
    <x v="1"/>
    <x v="1"/>
    <s v="R"/>
    <x v="2"/>
    <x v="1"/>
  </r>
  <r>
    <n v="178"/>
    <s v="L1"/>
    <s v="P"/>
    <n v="50"/>
    <s v="K"/>
    <n v="23"/>
    <x v="1"/>
    <x v="1"/>
    <s v="R"/>
    <x v="2"/>
    <x v="1"/>
  </r>
  <r>
    <n v="179"/>
    <s v="H5"/>
    <s v="L"/>
    <n v="1"/>
    <s v="M"/>
    <n v="25"/>
    <x v="1"/>
    <x v="1"/>
    <s v="R"/>
    <x v="2"/>
    <x v="1"/>
  </r>
  <r>
    <n v="180"/>
    <s v="H5"/>
    <s v="L"/>
    <n v="1"/>
    <s v="K"/>
    <n v="45"/>
    <x v="1"/>
    <x v="2"/>
    <s v="H5"/>
    <x v="1"/>
    <x v="3"/>
  </r>
  <r>
    <n v="181"/>
    <s v="H5"/>
    <s v="L"/>
    <n v="50"/>
    <s v="M"/>
    <n v="29"/>
    <x v="1"/>
    <x v="1"/>
    <s v="R"/>
    <x v="2"/>
    <x v="1"/>
  </r>
  <r>
    <n v="182"/>
    <s v="H5"/>
    <s v="L"/>
    <n v="50"/>
    <s v="K"/>
    <n v="52"/>
    <x v="2"/>
    <x v="1"/>
    <s v="H5"/>
    <x v="1"/>
    <x v="3"/>
  </r>
  <r>
    <n v="183"/>
    <s v="M1"/>
    <s v="L"/>
    <n v="50"/>
    <s v="K"/>
    <n v="39"/>
    <x v="4"/>
    <x v="1"/>
    <s v="M1"/>
    <x v="2"/>
    <x v="3"/>
  </r>
  <r>
    <n v="184"/>
    <s v="H1"/>
    <s v="L"/>
    <n v="1"/>
    <s v="K"/>
    <n v="23"/>
    <x v="1"/>
    <x v="2"/>
    <s v="H1"/>
    <x v="2"/>
    <x v="1"/>
  </r>
  <r>
    <n v="185"/>
    <s v="H5"/>
    <s v="L"/>
    <n v="1"/>
    <s v="M"/>
    <n v="32"/>
    <x v="2"/>
    <x v="2"/>
    <s v="R"/>
    <x v="2"/>
    <x v="1"/>
  </r>
  <r>
    <n v="186"/>
    <s v="H5"/>
    <s v="L"/>
    <n v="1"/>
    <s v="K"/>
    <n v="37"/>
    <x v="1"/>
    <x v="1"/>
    <s v="R"/>
    <x v="1"/>
    <x v="4"/>
  </r>
  <r>
    <n v="187"/>
    <s v="H5"/>
    <s v="L"/>
    <n v="50"/>
    <s v="M"/>
    <n v="20"/>
    <x v="1"/>
    <x v="1"/>
    <s v="R"/>
    <x v="1"/>
    <x v="1"/>
  </r>
  <r>
    <n v="188"/>
    <s v="L1"/>
    <s v="L"/>
    <n v="1"/>
    <s v="K"/>
    <n v="45"/>
    <x v="7"/>
    <x v="1"/>
    <s v="L1"/>
    <x v="2"/>
    <x v="4"/>
  </r>
  <r>
    <n v="189"/>
    <s v="L1"/>
    <s v="P"/>
    <n v="50"/>
    <s v="M"/>
    <n v="23"/>
    <x v="1"/>
    <x v="1"/>
    <s v="R"/>
    <x v="2"/>
    <x v="1"/>
  </r>
  <r>
    <n v="190"/>
    <s v="M1"/>
    <s v="L"/>
    <n v="1"/>
    <s v="K"/>
    <n v="23"/>
    <x v="1"/>
    <x v="1"/>
    <s v="R"/>
    <x v="2"/>
    <x v="4"/>
  </r>
  <r>
    <n v="191"/>
    <s v="M1"/>
    <s v="P"/>
    <n v="1"/>
    <s v="K"/>
    <n v="65"/>
    <x v="4"/>
    <x v="1"/>
    <s v="M1"/>
    <x v="1"/>
    <x v="4"/>
  </r>
  <r>
    <n v="192"/>
    <s v="M1"/>
    <s v="P"/>
    <n v="1"/>
    <s v="M"/>
    <n v="20"/>
    <x v="1"/>
    <x v="2"/>
    <s v="M1"/>
    <x v="1"/>
    <x v="1"/>
  </r>
  <r>
    <n v="193"/>
    <s v="M1"/>
    <s v="P"/>
    <n v="50"/>
    <s v="K"/>
    <n v="20"/>
    <x v="4"/>
    <x v="1"/>
    <s v="M1"/>
    <x v="2"/>
    <x v="1"/>
  </r>
  <r>
    <n v="194"/>
    <s v="H5"/>
    <s v="L"/>
    <n v="50"/>
    <s v="M"/>
    <n v="29"/>
    <x v="2"/>
    <x v="2"/>
    <s v="R"/>
    <x v="1"/>
    <x v="4"/>
  </r>
  <r>
    <n v="195"/>
    <s v="H1"/>
    <s v="P"/>
    <n v="1"/>
    <s v="K"/>
    <n v="56"/>
    <x v="1"/>
    <x v="1"/>
    <s v="R"/>
    <x v="2"/>
    <x v="4"/>
  </r>
  <r>
    <n v="196"/>
    <s v="H1"/>
    <s v="P"/>
    <n v="1"/>
    <s v="M"/>
    <n v="56"/>
    <x v="5"/>
    <x v="1"/>
    <s v="H1"/>
    <x v="1"/>
    <x v="4"/>
  </r>
  <r>
    <n v="197"/>
    <s v="H1"/>
    <s v="P"/>
    <n v="50"/>
    <s v="M"/>
    <n v="17"/>
    <x v="1"/>
    <x v="2"/>
    <s v="H1"/>
    <x v="1"/>
    <x v="1"/>
  </r>
  <r>
    <n v="198"/>
    <s v="H5"/>
    <s v="P"/>
    <n v="1"/>
    <s v="K"/>
    <n v="31"/>
    <x v="1"/>
    <x v="1"/>
    <s v="R"/>
    <x v="1"/>
    <x v="4"/>
  </r>
  <r>
    <n v="199"/>
    <s v="H5"/>
    <s v="P"/>
    <n v="50"/>
    <s v="K"/>
    <n v="25"/>
    <x v="1"/>
    <x v="2"/>
    <s v="H5"/>
    <x v="2"/>
    <x v="1"/>
  </r>
  <r>
    <n v="200"/>
    <s v="H5"/>
    <s v="P"/>
    <n v="50"/>
    <s v="K"/>
    <n v="43"/>
    <x v="1"/>
    <x v="1"/>
    <s v="R"/>
    <x v="2"/>
    <x v="3"/>
  </r>
  <r>
    <n v="201"/>
    <s v="L1"/>
    <s v="P"/>
    <n v="1"/>
    <s v="K"/>
    <n v="38"/>
    <x v="1"/>
    <x v="1"/>
    <s v="R"/>
    <x v="1"/>
    <x v="1"/>
  </r>
  <r>
    <n v="202"/>
    <s v="L1"/>
    <s v="P"/>
    <n v="50"/>
    <s v="K"/>
    <n v="26"/>
    <x v="1"/>
    <x v="1"/>
    <s v="R"/>
    <x v="1"/>
    <x v="4"/>
  </r>
  <r>
    <n v="203"/>
    <s v="L1"/>
    <s v="L"/>
    <n v="50"/>
    <s v="K"/>
    <n v="35"/>
    <x v="7"/>
    <x v="1"/>
    <s v="L1"/>
    <x v="2"/>
    <x v="1"/>
  </r>
  <r>
    <n v="204"/>
    <s v="L1"/>
    <s v="P"/>
    <n v="50"/>
    <s v="K"/>
    <n v="32"/>
    <x v="7"/>
    <x v="1"/>
    <s v="L1"/>
    <x v="2"/>
    <x v="1"/>
  </r>
  <r>
    <n v="205"/>
    <s v="L5"/>
    <s v="L"/>
    <n v="1"/>
    <s v="K"/>
    <n v="20"/>
    <x v="1"/>
    <x v="1"/>
    <s v="R"/>
    <x v="2"/>
    <x v="1"/>
  </r>
  <r>
    <n v="206"/>
    <s v="L5"/>
    <s v="P"/>
    <n v="1"/>
    <s v="M"/>
    <n v="21"/>
    <x v="1"/>
    <x v="1"/>
    <s v="R"/>
    <x v="2"/>
    <x v="1"/>
  </r>
  <r>
    <n v="207"/>
    <s v="L5"/>
    <s v="L"/>
    <n v="50"/>
    <s v="M"/>
    <n v="45"/>
    <x v="6"/>
    <x v="1"/>
    <s v="L5"/>
    <x v="2"/>
    <x v="4"/>
  </r>
  <r>
    <n v="208"/>
    <s v="L5"/>
    <s v="L"/>
    <n v="50"/>
    <s v="K"/>
    <n v="61"/>
    <x v="6"/>
    <x v="1"/>
    <s v="L5"/>
    <x v="1"/>
    <x v="4"/>
  </r>
  <r>
    <n v="209"/>
    <s v="L5"/>
    <s v="P"/>
    <n v="50"/>
    <s v="K"/>
    <n v="42"/>
    <x v="6"/>
    <x v="1"/>
    <s v="L5"/>
    <x v="2"/>
    <x v="1"/>
  </r>
  <r>
    <n v="210"/>
    <s v="M1"/>
    <s v="L"/>
    <n v="1"/>
    <s v="K"/>
    <n v="38"/>
    <x v="4"/>
    <x v="1"/>
    <s v="M1"/>
    <x v="1"/>
    <x v="1"/>
  </r>
  <r>
    <n v="211"/>
    <s v="M1"/>
    <s v="L"/>
    <n v="1"/>
    <s v="M"/>
    <n v="36"/>
    <x v="1"/>
    <x v="1"/>
    <s v="R"/>
    <x v="1"/>
    <x v="3"/>
  </r>
  <r>
    <n v="212"/>
    <s v="M1"/>
    <s v="P"/>
    <n v="1"/>
    <s v="K"/>
    <n v="31"/>
    <x v="4"/>
    <x v="1"/>
    <s v="M1"/>
    <x v="1"/>
    <x v="1"/>
  </r>
  <r>
    <n v="213"/>
    <s v="M1"/>
    <s v="P"/>
    <n v="1"/>
    <s v="M"/>
    <n v="47"/>
    <x v="4"/>
    <x v="1"/>
    <s v="M1"/>
    <x v="1"/>
    <x v="1"/>
  </r>
  <r>
    <n v="214"/>
    <s v="M1"/>
    <s v="L"/>
    <n v="50"/>
    <s v="K"/>
    <n v="40"/>
    <x v="1"/>
    <x v="1"/>
    <s v="R"/>
    <x v="1"/>
    <x v="3"/>
  </r>
  <r>
    <n v="215"/>
    <s v="M1"/>
    <s v="L"/>
    <n v="50"/>
    <s v="M"/>
    <n v="28"/>
    <x v="1"/>
    <x v="1"/>
    <s v="R"/>
    <x v="1"/>
    <x v="4"/>
  </r>
  <r>
    <n v="216"/>
    <s v="M1"/>
    <s v="P"/>
    <n v="50"/>
    <s v="K"/>
    <n v="30"/>
    <x v="1"/>
    <x v="1"/>
    <s v="R"/>
    <x v="2"/>
    <x v="3"/>
  </r>
  <r>
    <n v="217"/>
    <s v="M1"/>
    <s v="P"/>
    <n v="50"/>
    <s v="K"/>
    <n v="23"/>
    <x v="1"/>
    <x v="1"/>
    <s v="R"/>
    <x v="2"/>
    <x v="3"/>
  </r>
  <r>
    <n v="218"/>
    <s v="M1"/>
    <s v="P"/>
    <n v="50"/>
    <s v="M"/>
    <n v="33"/>
    <x v="1"/>
    <x v="1"/>
    <s v="R"/>
    <x v="2"/>
    <x v="1"/>
  </r>
  <r>
    <n v="219"/>
    <s v="M1"/>
    <s v="L"/>
    <n v="1"/>
    <s v="K"/>
    <n v="26"/>
    <x v="1"/>
    <x v="1"/>
    <s v="R"/>
    <x v="1"/>
    <x v="4"/>
  </r>
  <r>
    <n v="220"/>
    <s v="M1"/>
    <s v="P"/>
    <n v="1"/>
    <s v="K"/>
    <n v="25"/>
    <x v="4"/>
    <x v="1"/>
    <s v="M1"/>
    <x v="1"/>
    <x v="1"/>
  </r>
  <r>
    <n v="221"/>
    <s v="H1"/>
    <s v="L"/>
    <n v="50"/>
    <s v="K"/>
    <n v="20"/>
    <x v="1"/>
    <x v="1"/>
    <s v="R"/>
    <x v="1"/>
    <x v="4"/>
  </r>
  <r>
    <n v="222"/>
    <s v="H1"/>
    <s v="L"/>
    <n v="50"/>
    <s v="M"/>
    <n v="27"/>
    <x v="1"/>
    <x v="1"/>
    <s v="R"/>
    <x v="1"/>
    <x v="1"/>
  </r>
  <r>
    <n v="223"/>
    <s v="H1"/>
    <s v="P"/>
    <n v="50"/>
    <s v="M"/>
    <n v="52"/>
    <x v="1"/>
    <x v="1"/>
    <s v="R"/>
    <x v="2"/>
    <x v="1"/>
  </r>
  <r>
    <n v="224"/>
    <s v="H1"/>
    <s v="P"/>
    <n v="50"/>
    <s v="M"/>
    <n v="37"/>
    <x v="1"/>
    <x v="1"/>
    <s v="R"/>
    <x v="2"/>
    <x v="1"/>
  </r>
  <r>
    <n v="225"/>
    <s v="H5"/>
    <s v="L"/>
    <n v="1"/>
    <s v="K"/>
    <n v="34"/>
    <x v="1"/>
    <x v="2"/>
    <s v="H5"/>
    <x v="2"/>
    <x v="1"/>
  </r>
  <r>
    <n v="226"/>
    <s v="H5"/>
    <s v="L"/>
    <n v="1"/>
    <s v="M"/>
    <n v="23"/>
    <x v="2"/>
    <x v="1"/>
    <s v="H5"/>
    <x v="1"/>
    <x v="3"/>
  </r>
  <r>
    <n v="227"/>
    <s v="H5"/>
    <s v="P"/>
    <n v="50"/>
    <s v="M"/>
    <n v="69"/>
    <x v="1"/>
    <x v="1"/>
    <s v="R"/>
    <x v="2"/>
    <x v="4"/>
  </r>
  <r>
    <n v="228"/>
    <s v="L5"/>
    <s v="P"/>
    <n v="50"/>
    <s v="K"/>
    <n v="26"/>
    <x v="1"/>
    <x v="1"/>
    <s v="R"/>
    <x v="2"/>
    <x v="3"/>
  </r>
  <r>
    <n v="229"/>
    <s v="M1"/>
    <s v="L"/>
    <n v="50"/>
    <s v="K"/>
    <n v="53"/>
    <x v="4"/>
    <x v="1"/>
    <s v="M1"/>
    <x v="2"/>
    <x v="1"/>
  </r>
  <r>
    <n v="230"/>
    <s v="M1"/>
    <s v="L"/>
    <n v="50"/>
    <s v="M"/>
    <n v="36"/>
    <x v="1"/>
    <x v="1"/>
    <s v="R"/>
    <x v="2"/>
    <x v="1"/>
  </r>
  <r>
    <n v="231"/>
    <s v="M5"/>
    <s v="L"/>
    <n v="1"/>
    <s v="K"/>
    <n v="67"/>
    <x v="1"/>
    <x v="1"/>
    <s v="R"/>
    <x v="2"/>
    <x v="3"/>
  </r>
  <r>
    <n v="232"/>
    <s v="M5"/>
    <s v="L"/>
    <n v="50"/>
    <s v="K"/>
    <n v="38"/>
    <x v="1"/>
    <x v="1"/>
    <s v="R"/>
    <x v="2"/>
    <x v="1"/>
  </r>
  <r>
    <n v="233"/>
    <s v="M5"/>
    <s v="L"/>
    <n v="50"/>
    <s v="K"/>
    <n v="44"/>
    <x v="1"/>
    <x v="1"/>
    <s v="R"/>
    <x v="2"/>
    <x v="3"/>
  </r>
  <r>
    <n v="234"/>
    <s v="M5"/>
    <s v="P"/>
    <n v="50"/>
    <s v="M"/>
    <n v="24"/>
    <x v="3"/>
    <x v="1"/>
    <s v="M5"/>
    <x v="2"/>
    <x v="1"/>
  </r>
  <r>
    <n v="235"/>
    <s v="M1"/>
    <s v="P"/>
    <n v="1"/>
    <s v="M"/>
    <n v="24"/>
    <x v="1"/>
    <x v="1"/>
    <s v="R"/>
    <x v="1"/>
    <x v="4"/>
  </r>
  <r>
    <n v="236"/>
    <s v="M5"/>
    <s v="L"/>
    <n v="1"/>
    <s v="M"/>
    <n v="66"/>
    <x v="1"/>
    <x v="1"/>
    <s v="R"/>
    <x v="2"/>
    <x v="3"/>
  </r>
  <r>
    <n v="237"/>
    <s v="H1"/>
    <s v="L"/>
    <n v="1"/>
    <s v="M"/>
    <n v="54"/>
    <x v="1"/>
    <x v="1"/>
    <s v="R"/>
    <x v="2"/>
    <x v="3"/>
  </r>
  <r>
    <n v="238"/>
    <s v="H1"/>
    <s v="L"/>
    <n v="1"/>
    <s v="M"/>
    <n v="64"/>
    <x v="1"/>
    <x v="1"/>
    <s v="R"/>
    <x v="2"/>
    <x v="3"/>
  </r>
  <r>
    <n v="239"/>
    <s v="H1"/>
    <s v="L"/>
    <n v="1"/>
    <s v="M"/>
    <n v="31"/>
    <x v="5"/>
    <x v="1"/>
    <s v="H1"/>
    <x v="1"/>
    <x v="1"/>
  </r>
  <r>
    <n v="240"/>
    <s v="H1"/>
    <s v="L"/>
    <n v="1"/>
    <s v="M"/>
    <n v="48"/>
    <x v="5"/>
    <x v="1"/>
    <s v="H1"/>
    <x v="1"/>
    <x v="3"/>
  </r>
  <r>
    <n v="241"/>
    <s v="H1"/>
    <s v="L"/>
    <n v="50"/>
    <s v="K"/>
    <n v="72"/>
    <x v="1"/>
    <x v="1"/>
    <s v="R"/>
    <x v="2"/>
    <x v="3"/>
  </r>
  <r>
    <n v="242"/>
    <s v="H1"/>
    <s v="P"/>
    <n v="50"/>
    <s v="K"/>
    <n v="43"/>
    <x v="1"/>
    <x v="1"/>
    <s v="R"/>
    <x v="2"/>
    <x v="3"/>
  </r>
  <r>
    <n v="243"/>
    <s v="H5"/>
    <s v="L"/>
    <n v="1"/>
    <s v="M"/>
    <n v="50"/>
    <x v="1"/>
    <x v="1"/>
    <s v="R"/>
    <x v="2"/>
    <x v="3"/>
  </r>
  <r>
    <n v="244"/>
    <s v="H5"/>
    <s v="L"/>
    <n v="1"/>
    <s v="K"/>
    <n v="28"/>
    <x v="1"/>
    <x v="1"/>
    <s v="R"/>
    <x v="1"/>
    <x v="1"/>
  </r>
  <r>
    <n v="245"/>
    <s v="H5"/>
    <s v="L"/>
    <n v="1"/>
    <s v="M"/>
    <n v="39"/>
    <x v="2"/>
    <x v="2"/>
    <s v="R"/>
    <x v="1"/>
    <x v="3"/>
  </r>
  <r>
    <n v="246"/>
    <s v="H5"/>
    <s v="L"/>
    <n v="50"/>
    <s v="M"/>
    <n v="38"/>
    <x v="1"/>
    <x v="1"/>
    <s v="R"/>
    <x v="2"/>
    <x v="4"/>
  </r>
  <r>
    <n v="247"/>
    <s v="H5"/>
    <s v="L"/>
    <n v="50"/>
    <s v="K"/>
    <n v="36"/>
    <x v="2"/>
    <x v="1"/>
    <s v="H5"/>
    <x v="2"/>
    <x v="3"/>
  </r>
  <r>
    <n v="248"/>
    <s v="H5"/>
    <s v="L"/>
    <n v="50"/>
    <s v="K"/>
    <n v="43"/>
    <x v="2"/>
    <x v="2"/>
    <s v="R"/>
    <x v="2"/>
    <x v="1"/>
  </r>
  <r>
    <n v="249"/>
    <s v="H5"/>
    <s v="L"/>
    <n v="50"/>
    <s v="M"/>
    <n v="64"/>
    <x v="1"/>
    <x v="1"/>
    <s v="R"/>
    <x v="1"/>
    <x v="4"/>
  </r>
  <r>
    <n v="250"/>
    <s v="L5"/>
    <s v="L"/>
    <n v="1"/>
    <s v="M"/>
    <n v="58"/>
    <x v="1"/>
    <x v="1"/>
    <s v="R"/>
    <x v="2"/>
    <x v="3"/>
  </r>
  <r>
    <n v="251"/>
    <s v="L5"/>
    <s v="P"/>
    <n v="1"/>
    <s v="K"/>
    <n v="64"/>
    <x v="1"/>
    <x v="1"/>
    <s v="R"/>
    <x v="2"/>
    <x v="3"/>
  </r>
  <r>
    <n v="252"/>
    <s v="M1"/>
    <s v="L"/>
    <n v="50"/>
    <s v="M"/>
    <n v="55"/>
    <x v="4"/>
    <x v="2"/>
    <s v="R"/>
    <x v="1"/>
    <x v="1"/>
  </r>
  <r>
    <n v="253"/>
    <s v="M1"/>
    <s v="P"/>
    <n v="50"/>
    <s v="K"/>
    <n v="81"/>
    <x v="1"/>
    <x v="1"/>
    <s v="R"/>
    <x v="1"/>
    <x v="4"/>
  </r>
  <r>
    <n v="254"/>
    <s v="H1"/>
    <s v="L"/>
    <n v="1"/>
    <s v="M"/>
    <n v="65"/>
    <x v="1"/>
    <x v="1"/>
    <s v="R"/>
    <x v="2"/>
    <x v="4"/>
  </r>
  <r>
    <n v="255"/>
    <s v="H1"/>
    <s v="L"/>
    <n v="1"/>
    <s v="K"/>
    <n v="35"/>
    <x v="1"/>
    <x v="1"/>
    <s v="R"/>
    <x v="2"/>
    <x v="4"/>
  </r>
  <r>
    <n v="256"/>
    <s v="H1"/>
    <s v="L"/>
    <n v="1"/>
    <s v="M"/>
    <n v="23"/>
    <x v="1"/>
    <x v="2"/>
    <s v="H1"/>
    <x v="1"/>
    <x v="1"/>
  </r>
  <r>
    <n v="257"/>
    <s v="H1"/>
    <s v="L"/>
    <n v="1"/>
    <s v="K"/>
    <n v="62"/>
    <x v="1"/>
    <x v="1"/>
    <s v="R"/>
    <x v="1"/>
    <x v="1"/>
  </r>
  <r>
    <n v="258"/>
    <s v="H1"/>
    <s v="L"/>
    <n v="50"/>
    <s v="K"/>
    <n v="22"/>
    <x v="1"/>
    <x v="1"/>
    <s v="R"/>
    <x v="2"/>
    <x v="3"/>
  </r>
  <r>
    <n v="259"/>
    <s v="H1"/>
    <s v="L"/>
    <n v="50"/>
    <s v="K"/>
    <n v="18"/>
    <x v="5"/>
    <x v="2"/>
    <s v="R"/>
    <x v="1"/>
    <x v="3"/>
  </r>
  <r>
    <n v="260"/>
    <s v="H1"/>
    <s v="P"/>
    <n v="1"/>
    <s v="M"/>
    <n v="56"/>
    <x v="5"/>
    <x v="1"/>
    <s v="H1"/>
    <x v="2"/>
    <x v="3"/>
  </r>
  <r>
    <n v="261"/>
    <s v="H1"/>
    <s v="P"/>
    <n v="1"/>
    <s v="M"/>
    <n v="33"/>
    <x v="1"/>
    <x v="2"/>
    <s v="H1"/>
    <x v="2"/>
    <x v="1"/>
  </r>
  <r>
    <n v="262"/>
    <s v="H1"/>
    <s v="P"/>
    <n v="1"/>
    <s v="K"/>
    <n v="25"/>
    <x v="1"/>
    <x v="1"/>
    <s v="R"/>
    <x v="2"/>
    <x v="4"/>
  </r>
  <r>
    <n v="263"/>
    <s v="H1"/>
    <s v="P"/>
    <n v="1"/>
    <s v="K"/>
    <n v="29"/>
    <x v="5"/>
    <x v="1"/>
    <s v="H1"/>
    <x v="1"/>
    <x v="4"/>
  </r>
  <r>
    <n v="264"/>
    <s v="H1"/>
    <s v="P"/>
    <n v="1"/>
    <s v="K"/>
    <n v="27"/>
    <x v="1"/>
    <x v="2"/>
    <s v="H1"/>
    <x v="1"/>
    <x v="4"/>
  </r>
  <r>
    <n v="265"/>
    <s v="H1"/>
    <s v="P"/>
    <n v="1"/>
    <s v="K"/>
    <n v="59"/>
    <x v="1"/>
    <x v="1"/>
    <s v="R"/>
    <x v="1"/>
    <x v="3"/>
  </r>
  <r>
    <n v="266"/>
    <s v="H1"/>
    <s v="P"/>
    <n v="50"/>
    <s v="K"/>
    <n v="20"/>
    <x v="5"/>
    <x v="1"/>
    <s v="H1"/>
    <x v="2"/>
    <x v="3"/>
  </r>
  <r>
    <n v="267"/>
    <s v="H1"/>
    <s v="P"/>
    <n v="50"/>
    <s v="M"/>
    <n v="37"/>
    <x v="5"/>
    <x v="1"/>
    <s v="H1"/>
    <x v="2"/>
    <x v="4"/>
  </r>
  <r>
    <n v="268"/>
    <s v="H1"/>
    <s v="P"/>
    <n v="50"/>
    <s v="K"/>
    <n v="21"/>
    <x v="5"/>
    <x v="2"/>
    <s v="R"/>
    <x v="1"/>
    <x v="1"/>
  </r>
  <r>
    <n v="269"/>
    <s v="H1"/>
    <s v="P"/>
    <n v="50"/>
    <s v="M"/>
    <n v="62"/>
    <x v="1"/>
    <x v="1"/>
    <s v="R"/>
    <x v="1"/>
    <x v="4"/>
  </r>
  <r>
    <n v="270"/>
    <s v="H5"/>
    <s v="L"/>
    <n v="1"/>
    <s v="M"/>
    <n v="30"/>
    <x v="1"/>
    <x v="1"/>
    <s v="R"/>
    <x v="2"/>
    <x v="1"/>
  </r>
  <r>
    <n v="271"/>
    <s v="H5"/>
    <s v="L"/>
    <n v="1"/>
    <s v="K"/>
    <n v="66"/>
    <x v="1"/>
    <x v="1"/>
    <s v="R"/>
    <x v="2"/>
    <x v="4"/>
  </r>
  <r>
    <n v="272"/>
    <s v="H5"/>
    <s v="L"/>
    <n v="1"/>
    <s v="M"/>
    <n v="63"/>
    <x v="2"/>
    <x v="1"/>
    <s v="H5"/>
    <x v="2"/>
    <x v="1"/>
  </r>
  <r>
    <n v="273"/>
    <s v="H5"/>
    <s v="L"/>
    <n v="1"/>
    <s v="M"/>
    <n v="20"/>
    <x v="1"/>
    <x v="1"/>
    <s v="R"/>
    <x v="1"/>
    <x v="1"/>
  </r>
  <r>
    <n v="274"/>
    <s v="H5"/>
    <s v="L"/>
    <n v="1"/>
    <s v="M"/>
    <n v="23"/>
    <x v="2"/>
    <x v="2"/>
    <s v="R"/>
    <x v="1"/>
    <x v="1"/>
  </r>
  <r>
    <n v="275"/>
    <s v="H5"/>
    <s v="L"/>
    <n v="50"/>
    <s v="K"/>
    <n v="22"/>
    <x v="1"/>
    <x v="1"/>
    <s v="R"/>
    <x v="2"/>
    <x v="1"/>
  </r>
  <r>
    <n v="276"/>
    <s v="H5"/>
    <s v="L"/>
    <n v="50"/>
    <s v="M"/>
    <n v="24"/>
    <x v="2"/>
    <x v="1"/>
    <s v="H5"/>
    <x v="2"/>
    <x v="1"/>
  </r>
  <r>
    <n v="277"/>
    <s v="H5"/>
    <s v="L"/>
    <n v="50"/>
    <s v="M"/>
    <n v="36"/>
    <x v="1"/>
    <x v="1"/>
    <s v="R"/>
    <x v="1"/>
    <x v="1"/>
  </r>
  <r>
    <n v="278"/>
    <s v="H5"/>
    <s v="L"/>
    <n v="50"/>
    <s v="M"/>
    <n v="55"/>
    <x v="2"/>
    <x v="1"/>
    <s v="H5"/>
    <x v="1"/>
    <x v="4"/>
  </r>
  <r>
    <n v="279"/>
    <s v="H5"/>
    <s v="L"/>
    <n v="50"/>
    <s v="K"/>
    <n v="64"/>
    <x v="1"/>
    <x v="1"/>
    <s v="R"/>
    <x v="1"/>
    <x v="1"/>
  </r>
  <r>
    <n v="280"/>
    <s v="H5"/>
    <s v="P"/>
    <n v="1"/>
    <s v="M"/>
    <n v="23"/>
    <x v="2"/>
    <x v="2"/>
    <s v="R"/>
    <x v="2"/>
    <x v="1"/>
  </r>
  <r>
    <n v="281"/>
    <s v="H5"/>
    <s v="P"/>
    <n v="1"/>
    <s v="K"/>
    <n v="21"/>
    <x v="2"/>
    <x v="2"/>
    <s v="R"/>
    <x v="2"/>
    <x v="1"/>
  </r>
  <r>
    <n v="282"/>
    <s v="H5"/>
    <s v="P"/>
    <n v="1"/>
    <s v="M"/>
    <n v="19"/>
    <x v="2"/>
    <x v="2"/>
    <s v="R"/>
    <x v="2"/>
    <x v="1"/>
  </r>
  <r>
    <n v="283"/>
    <s v="H5"/>
    <s v="P"/>
    <n v="1"/>
    <s v="M"/>
    <n v="35"/>
    <x v="2"/>
    <x v="2"/>
    <s v="R"/>
    <x v="1"/>
    <x v="1"/>
  </r>
  <r>
    <n v="284"/>
    <s v="H5"/>
    <s v="P"/>
    <n v="1"/>
    <s v="K"/>
    <n v="18"/>
    <x v="1"/>
    <x v="1"/>
    <s v="R"/>
    <x v="1"/>
    <x v="4"/>
  </r>
  <r>
    <n v="285"/>
    <s v="L1"/>
    <s v="L"/>
    <n v="1"/>
    <s v="K"/>
    <n v="26"/>
    <x v="1"/>
    <x v="1"/>
    <s v="R"/>
    <x v="2"/>
    <x v="4"/>
  </r>
  <r>
    <n v="286"/>
    <s v="L1"/>
    <s v="L"/>
    <n v="1"/>
    <s v="K"/>
    <n v="24"/>
    <x v="1"/>
    <x v="1"/>
    <s v="R"/>
    <x v="2"/>
    <x v="3"/>
  </r>
  <r>
    <n v="287"/>
    <s v="L1"/>
    <s v="L"/>
    <n v="1"/>
    <s v="K"/>
    <n v="26"/>
    <x v="1"/>
    <x v="1"/>
    <s v="R"/>
    <x v="2"/>
    <x v="4"/>
  </r>
  <r>
    <n v="288"/>
    <s v="L1"/>
    <s v="L"/>
    <n v="1"/>
    <s v="K"/>
    <n v="21"/>
    <x v="1"/>
    <x v="1"/>
    <s v="R"/>
    <x v="2"/>
    <x v="3"/>
  </r>
  <r>
    <n v="289"/>
    <s v="L1"/>
    <s v="L"/>
    <n v="50"/>
    <s v="M"/>
    <n v="30"/>
    <x v="7"/>
    <x v="1"/>
    <s v="L1"/>
    <x v="1"/>
    <x v="4"/>
  </r>
  <r>
    <n v="290"/>
    <s v="L1"/>
    <s v="L"/>
    <n v="50"/>
    <s v="M"/>
    <n v="35"/>
    <x v="7"/>
    <x v="1"/>
    <s v="L1"/>
    <x v="2"/>
    <x v="1"/>
  </r>
  <r>
    <n v="291"/>
    <s v="L1"/>
    <s v="L"/>
    <n v="50"/>
    <s v="K"/>
    <n v="63"/>
    <x v="7"/>
    <x v="1"/>
    <s v="L1"/>
    <x v="2"/>
    <x v="3"/>
  </r>
  <r>
    <n v="292"/>
    <s v="L1"/>
    <s v="L"/>
    <n v="50"/>
    <s v="K"/>
    <n v="49"/>
    <x v="1"/>
    <x v="1"/>
    <s v="R"/>
    <x v="1"/>
    <x v="4"/>
  </r>
  <r>
    <n v="293"/>
    <s v="L1"/>
    <s v="P"/>
    <n v="1"/>
    <s v="M"/>
    <n v="26"/>
    <x v="7"/>
    <x v="1"/>
    <s v="L1"/>
    <x v="2"/>
    <x v="4"/>
  </r>
  <r>
    <n v="294"/>
    <s v="L1"/>
    <s v="P"/>
    <n v="1"/>
    <s v="K"/>
    <n v="35"/>
    <x v="7"/>
    <x v="1"/>
    <s v="L1"/>
    <x v="2"/>
    <x v="3"/>
  </r>
  <r>
    <n v="295"/>
    <s v="L1"/>
    <s v="P"/>
    <n v="1"/>
    <s v="K"/>
    <n v="18"/>
    <x v="1"/>
    <x v="1"/>
    <s v="R"/>
    <x v="2"/>
    <x v="3"/>
  </r>
  <r>
    <n v="296"/>
    <s v="L1"/>
    <s v="P"/>
    <n v="1"/>
    <s v="K"/>
    <n v="53"/>
    <x v="1"/>
    <x v="1"/>
    <s v="R"/>
    <x v="2"/>
    <x v="1"/>
  </r>
  <r>
    <n v="297"/>
    <s v="L1"/>
    <s v="P"/>
    <n v="1"/>
    <s v="M"/>
    <n v="65"/>
    <x v="1"/>
    <x v="1"/>
    <s v="R"/>
    <x v="1"/>
    <x v="3"/>
  </r>
  <r>
    <n v="298"/>
    <s v="L1"/>
    <s v="P"/>
    <n v="1"/>
    <s v="K"/>
    <n v="45"/>
    <x v="1"/>
    <x v="1"/>
    <s v="R"/>
    <x v="1"/>
    <x v="3"/>
  </r>
  <r>
    <n v="299"/>
    <s v="L1"/>
    <s v="P"/>
    <n v="50"/>
    <s v="M"/>
    <n v="19"/>
    <x v="7"/>
    <x v="2"/>
    <s v="R"/>
    <x v="2"/>
    <x v="4"/>
  </r>
  <r>
    <n v="300"/>
    <s v="L1"/>
    <s v="P"/>
    <n v="50"/>
    <s v="K"/>
    <n v="29"/>
    <x v="7"/>
    <x v="1"/>
    <s v="L1"/>
    <x v="1"/>
    <x v="4"/>
  </r>
  <r>
    <n v="301"/>
    <s v="L1"/>
    <s v="P"/>
    <n v="50"/>
    <s v="M"/>
    <n v="29"/>
    <x v="7"/>
    <x v="1"/>
    <s v="L1"/>
    <x v="1"/>
    <x v="3"/>
  </r>
  <r>
    <n v="302"/>
    <s v="L5"/>
    <s v="L"/>
    <n v="1"/>
    <s v="K"/>
    <n v="24"/>
    <x v="1"/>
    <x v="1"/>
    <s v="R"/>
    <x v="1"/>
    <x v="1"/>
  </r>
  <r>
    <n v="303"/>
    <s v="L5"/>
    <s v="L"/>
    <n v="1"/>
    <s v="K"/>
    <n v="28"/>
    <x v="1"/>
    <x v="1"/>
    <s v="R"/>
    <x v="1"/>
    <x v="4"/>
  </r>
  <r>
    <n v="304"/>
    <s v="L5"/>
    <s v="L"/>
    <n v="1"/>
    <s v="K"/>
    <n v="34"/>
    <x v="1"/>
    <x v="1"/>
    <s v="R"/>
    <x v="1"/>
    <x v="2"/>
  </r>
  <r>
    <n v="305"/>
    <s v="L5"/>
    <s v="L"/>
    <n v="1"/>
    <s v="K"/>
    <n v="72"/>
    <x v="1"/>
    <x v="1"/>
    <s v="R"/>
    <x v="2"/>
    <x v="3"/>
  </r>
  <r>
    <n v="306"/>
    <s v="L5"/>
    <s v="L"/>
    <n v="1"/>
    <s v="K"/>
    <n v="21"/>
    <x v="6"/>
    <x v="1"/>
    <s v="L5"/>
    <x v="2"/>
    <x v="4"/>
  </r>
  <r>
    <n v="307"/>
    <s v="L5"/>
    <s v="L"/>
    <n v="50"/>
    <s v="M"/>
    <n v="19"/>
    <x v="1"/>
    <x v="1"/>
    <s v="R"/>
    <x v="2"/>
    <x v="1"/>
  </r>
  <r>
    <n v="308"/>
    <s v="L5"/>
    <s v="L"/>
    <n v="50"/>
    <s v="K"/>
    <n v="22"/>
    <x v="6"/>
    <x v="1"/>
    <s v="L5"/>
    <x v="2"/>
    <x v="4"/>
  </r>
  <r>
    <n v="309"/>
    <s v="L5"/>
    <s v="L"/>
    <n v="50"/>
    <s v="K"/>
    <n v="62"/>
    <x v="6"/>
    <x v="1"/>
    <s v="L5"/>
    <x v="2"/>
    <x v="1"/>
  </r>
  <r>
    <n v="310"/>
    <s v="L5"/>
    <s v="L"/>
    <n v="50"/>
    <s v="M"/>
    <n v="19"/>
    <x v="1"/>
    <x v="1"/>
    <s v="R"/>
    <x v="1"/>
    <x v="1"/>
  </r>
  <r>
    <n v="311"/>
    <s v="L5"/>
    <s v="L"/>
    <n v="50"/>
    <s v="M"/>
    <n v="24"/>
    <x v="1"/>
    <x v="1"/>
    <s v="R"/>
    <x v="1"/>
    <x v="3"/>
  </r>
  <r>
    <n v="312"/>
    <s v="L5"/>
    <s v="P"/>
    <n v="1"/>
    <s v="K"/>
    <n v="22"/>
    <x v="1"/>
    <x v="1"/>
    <s v="R"/>
    <x v="1"/>
    <x v="1"/>
  </r>
  <r>
    <n v="313"/>
    <s v="L5"/>
    <s v="P"/>
    <n v="1"/>
    <s v="K"/>
    <n v="48"/>
    <x v="1"/>
    <x v="1"/>
    <s v="R"/>
    <x v="1"/>
    <x v="1"/>
  </r>
  <r>
    <n v="314"/>
    <s v="L5"/>
    <s v="P"/>
    <n v="1"/>
    <s v="M"/>
    <n v="18"/>
    <x v="1"/>
    <x v="1"/>
    <s v="R"/>
    <x v="2"/>
    <x v="3"/>
  </r>
  <r>
    <n v="315"/>
    <s v="L5"/>
    <s v="P"/>
    <n v="50"/>
    <s v="K"/>
    <n v="22"/>
    <x v="1"/>
    <x v="1"/>
    <s v="R"/>
    <x v="1"/>
    <x v="4"/>
  </r>
  <r>
    <n v="316"/>
    <s v="L5"/>
    <s v="P"/>
    <n v="50"/>
    <s v="K"/>
    <n v="52"/>
    <x v="6"/>
    <x v="1"/>
    <s v="L5"/>
    <x v="1"/>
    <x v="3"/>
  </r>
  <r>
    <n v="317"/>
    <s v="L5"/>
    <s v="P"/>
    <n v="50"/>
    <s v="M"/>
    <n v="18"/>
    <x v="6"/>
    <x v="1"/>
    <s v="L5"/>
    <x v="2"/>
    <x v="3"/>
  </r>
  <r>
    <n v="318"/>
    <s v="M1"/>
    <s v="L"/>
    <n v="1"/>
    <s v="M"/>
    <n v="61"/>
    <x v="4"/>
    <x v="1"/>
    <s v="M1"/>
    <x v="2"/>
    <x v="3"/>
  </r>
  <r>
    <n v="319"/>
    <s v="M1"/>
    <s v="L"/>
    <n v="1"/>
    <s v="M"/>
    <n v="67"/>
    <x v="1"/>
    <x v="2"/>
    <s v="M1"/>
    <x v="2"/>
    <x v="4"/>
  </r>
  <r>
    <n v="320"/>
    <s v="M1"/>
    <s v="L"/>
    <n v="1"/>
    <s v="M"/>
    <n v="22"/>
    <x v="4"/>
    <x v="1"/>
    <s v="M1"/>
    <x v="1"/>
    <x v="1"/>
  </r>
  <r>
    <n v="321"/>
    <s v="M1"/>
    <s v="L"/>
    <n v="1"/>
    <s v="K"/>
    <n v="36"/>
    <x v="1"/>
    <x v="1"/>
    <s v="R"/>
    <x v="1"/>
    <x v="4"/>
  </r>
  <r>
    <n v="322"/>
    <s v="M1"/>
    <s v="L"/>
    <n v="50"/>
    <s v="M"/>
    <n v="19"/>
    <x v="1"/>
    <x v="2"/>
    <s v="M1"/>
    <x v="2"/>
    <x v="1"/>
  </r>
  <r>
    <n v="323"/>
    <s v="M1"/>
    <s v="L"/>
    <n v="50"/>
    <s v="M"/>
    <n v="29"/>
    <x v="1"/>
    <x v="2"/>
    <s v="M1"/>
    <x v="2"/>
    <x v="1"/>
  </r>
  <r>
    <n v="324"/>
    <s v="M1"/>
    <s v="L"/>
    <n v="50"/>
    <s v="K"/>
    <n v="60"/>
    <x v="1"/>
    <x v="1"/>
    <s v="R"/>
    <x v="1"/>
    <x v="4"/>
  </r>
  <r>
    <n v="325"/>
    <s v="M1"/>
    <s v="L"/>
    <n v="50"/>
    <s v="K"/>
    <n v="65"/>
    <x v="1"/>
    <x v="1"/>
    <s v="R"/>
    <x v="1"/>
    <x v="3"/>
  </r>
  <r>
    <n v="326"/>
    <s v="M1"/>
    <s v="L"/>
    <n v="50"/>
    <s v="M"/>
    <n v="21"/>
    <x v="1"/>
    <x v="1"/>
    <s v="R"/>
    <x v="1"/>
    <x v="1"/>
  </r>
  <r>
    <n v="327"/>
    <s v="M1"/>
    <s v="P"/>
    <n v="1"/>
    <s v="K"/>
    <n v="60"/>
    <x v="1"/>
    <x v="1"/>
    <s v="R"/>
    <x v="1"/>
    <x v="3"/>
  </r>
  <r>
    <n v="328"/>
    <s v="M1"/>
    <s v="P"/>
    <n v="1"/>
    <s v="K"/>
    <n v="62"/>
    <x v="1"/>
    <x v="1"/>
    <s v="R"/>
    <x v="2"/>
    <x v="4"/>
  </r>
  <r>
    <n v="329"/>
    <s v="M1"/>
    <s v="P"/>
    <n v="1"/>
    <s v="M"/>
    <n v="23"/>
    <x v="4"/>
    <x v="1"/>
    <s v="M1"/>
    <x v="2"/>
    <x v="3"/>
  </r>
  <r>
    <n v="330"/>
    <s v="M1"/>
    <s v="P"/>
    <n v="1"/>
    <s v="M"/>
    <n v="28"/>
    <x v="4"/>
    <x v="2"/>
    <s v="R"/>
    <x v="2"/>
    <x v="1"/>
  </r>
  <r>
    <n v="331"/>
    <s v="M1"/>
    <s v="P"/>
    <n v="50"/>
    <s v="K"/>
    <n v="23"/>
    <x v="1"/>
    <x v="2"/>
    <s v="M1"/>
    <x v="2"/>
    <x v="1"/>
  </r>
  <r>
    <n v="332"/>
    <s v="M1"/>
    <s v="P"/>
    <n v="50"/>
    <s v="M"/>
    <n v="60"/>
    <x v="1"/>
    <x v="1"/>
    <s v="R"/>
    <x v="2"/>
    <x v="4"/>
  </r>
  <r>
    <n v="333"/>
    <s v="M1"/>
    <s v="P"/>
    <n v="50"/>
    <s v="M"/>
    <n v="47"/>
    <x v="1"/>
    <x v="2"/>
    <s v="M1"/>
    <x v="1"/>
    <x v="4"/>
  </r>
  <r>
    <n v="334"/>
    <s v="M1"/>
    <s v="P"/>
    <n v="50"/>
    <s v="M"/>
    <n v="25"/>
    <x v="1"/>
    <x v="1"/>
    <s v="R"/>
    <x v="1"/>
    <x v="4"/>
  </r>
  <r>
    <n v="335"/>
    <s v="M1"/>
    <s v="P"/>
    <n v="50"/>
    <s v="M"/>
    <n v="31"/>
    <x v="4"/>
    <x v="2"/>
    <s v="R"/>
    <x v="1"/>
    <x v="4"/>
  </r>
  <r>
    <n v="336"/>
    <s v="M5"/>
    <s v="L"/>
    <n v="1"/>
    <s v="M"/>
    <n v="29"/>
    <x v="1"/>
    <x v="2"/>
    <s v="M5"/>
    <x v="2"/>
    <x v="1"/>
  </r>
  <r>
    <n v="337"/>
    <s v="M5"/>
    <s v="L"/>
    <n v="1"/>
    <s v="K"/>
    <n v="26"/>
    <x v="1"/>
    <x v="1"/>
    <s v="R"/>
    <x v="2"/>
    <x v="1"/>
  </r>
  <r>
    <n v="338"/>
    <s v="M5"/>
    <s v="L"/>
    <n v="1"/>
    <s v="M"/>
    <n v="22"/>
    <x v="3"/>
    <x v="1"/>
    <s v="M5"/>
    <x v="1"/>
    <x v="1"/>
  </r>
  <r>
    <n v="339"/>
    <s v="M5"/>
    <s v="L"/>
    <n v="1"/>
    <s v="M"/>
    <n v="33"/>
    <x v="3"/>
    <x v="1"/>
    <s v="M5"/>
    <x v="1"/>
    <x v="3"/>
  </r>
  <r>
    <n v="340"/>
    <s v="M5"/>
    <s v="L"/>
    <n v="1"/>
    <s v="K"/>
    <n v="65"/>
    <x v="1"/>
    <x v="1"/>
    <s v="R"/>
    <x v="2"/>
    <x v="4"/>
  </r>
  <r>
    <n v="341"/>
    <s v="M5"/>
    <s v="L"/>
    <n v="50"/>
    <s v="M"/>
    <n v="35"/>
    <x v="1"/>
    <x v="1"/>
    <s v="R"/>
    <x v="2"/>
    <x v="1"/>
  </r>
  <r>
    <n v="342"/>
    <s v="M5"/>
    <s v="L"/>
    <n v="50"/>
    <s v="M"/>
    <n v="53"/>
    <x v="1"/>
    <x v="1"/>
    <s v="R"/>
    <x v="2"/>
    <x v="3"/>
  </r>
  <r>
    <n v="343"/>
    <s v="M5"/>
    <s v="L"/>
    <n v="50"/>
    <s v="K"/>
    <n v="56"/>
    <x v="3"/>
    <x v="1"/>
    <s v="M5"/>
    <x v="1"/>
    <x v="4"/>
  </r>
  <r>
    <n v="344"/>
    <s v="M5"/>
    <s v="L"/>
    <n v="50"/>
    <s v="M"/>
    <n v="37"/>
    <x v="1"/>
    <x v="1"/>
    <s v="R"/>
    <x v="2"/>
    <x v="1"/>
  </r>
  <r>
    <n v="345"/>
    <s v="M5"/>
    <s v="P"/>
    <n v="1"/>
    <s v="M"/>
    <n v="28"/>
    <x v="3"/>
    <x v="1"/>
    <s v="M5"/>
    <x v="2"/>
    <x v="1"/>
  </r>
  <r>
    <n v="346"/>
    <s v="M5"/>
    <s v="P"/>
    <n v="1"/>
    <s v="K"/>
    <n v="22"/>
    <x v="3"/>
    <x v="1"/>
    <s v="M5"/>
    <x v="2"/>
    <x v="1"/>
  </r>
  <r>
    <n v="347"/>
    <s v="M5"/>
    <s v="P"/>
    <n v="1"/>
    <s v="M"/>
    <n v="39"/>
    <x v="1"/>
    <x v="1"/>
    <s v="R"/>
    <x v="2"/>
    <x v="1"/>
  </r>
  <r>
    <n v="348"/>
    <s v="M5"/>
    <s v="P"/>
    <n v="1"/>
    <s v="M"/>
    <n v="27"/>
    <x v="1"/>
    <x v="1"/>
    <s v="R"/>
    <x v="1"/>
    <x v="1"/>
  </r>
  <r>
    <n v="349"/>
    <s v="M5"/>
    <s v="P"/>
    <n v="1"/>
    <s v="M"/>
    <n v="24"/>
    <x v="3"/>
    <x v="1"/>
    <s v="M5"/>
    <x v="1"/>
    <x v="3"/>
  </r>
  <r>
    <n v="350"/>
    <s v="M5"/>
    <s v="P"/>
    <n v="1"/>
    <s v="K"/>
    <n v="28"/>
    <x v="1"/>
    <x v="1"/>
    <s v="R"/>
    <x v="1"/>
    <x v="4"/>
  </r>
  <r>
    <n v="351"/>
    <s v="M5"/>
    <s v="P"/>
    <n v="50"/>
    <s v="K"/>
    <n v="50"/>
    <x v="1"/>
    <x v="1"/>
    <s v="R"/>
    <x v="2"/>
    <x v="3"/>
  </r>
  <r>
    <n v="352"/>
    <s v="M5"/>
    <s v="P"/>
    <n v="50"/>
    <s v="K"/>
    <n v="62"/>
    <x v="1"/>
    <x v="1"/>
    <s v="R"/>
    <x v="2"/>
    <x v="4"/>
  </r>
  <r>
    <n v="353"/>
    <s v="M5"/>
    <s v="P"/>
    <n v="50"/>
    <s v="K"/>
    <n v="25"/>
    <x v="1"/>
    <x v="1"/>
    <s v="R"/>
    <x v="1"/>
    <x v="4"/>
  </r>
  <r>
    <n v="354"/>
    <s v="M5"/>
    <s v="P"/>
    <n v="50"/>
    <s v="K"/>
    <n v="25"/>
    <x v="1"/>
    <x v="1"/>
    <s v="R"/>
    <x v="1"/>
    <x v="1"/>
  </r>
  <r>
    <n v="355"/>
    <s v="M5"/>
    <s v="P"/>
    <n v="50"/>
    <s v="K"/>
    <n v="26"/>
    <x v="1"/>
    <x v="1"/>
    <s v="R"/>
    <x v="2"/>
    <x v="3"/>
  </r>
  <r>
    <n v="356"/>
    <s v="M5"/>
    <s v="P"/>
    <n v="50"/>
    <s v="M"/>
    <n v="21"/>
    <x v="3"/>
    <x v="2"/>
    <s v="R"/>
    <x v="2"/>
    <x v="4"/>
  </r>
  <r>
    <n v="357"/>
    <s v="H1"/>
    <s v="L"/>
    <n v="1"/>
    <s v="K"/>
    <n v="48"/>
    <x v="1"/>
    <x v="1"/>
    <s v="R"/>
    <x v="1"/>
    <x v="1"/>
  </r>
  <r>
    <n v="358"/>
    <s v="H1"/>
    <s v="P"/>
    <n v="50"/>
    <s v="M"/>
    <n v="68"/>
    <x v="5"/>
    <x v="1"/>
    <s v="H1"/>
    <x v="1"/>
    <x v="3"/>
  </r>
  <r>
    <n v="359"/>
    <s v="H5"/>
    <s v="L"/>
    <n v="50"/>
    <s v="K"/>
    <n v="68"/>
    <x v="1"/>
    <x v="1"/>
    <s v="R"/>
    <x v="2"/>
    <x v="3"/>
  </r>
  <r>
    <n v="360"/>
    <s v="H5"/>
    <s v="P"/>
    <n v="1"/>
    <s v="M"/>
    <n v="24"/>
    <x v="1"/>
    <x v="2"/>
    <s v="H5"/>
    <x v="1"/>
    <x v="4"/>
  </r>
  <r>
    <n v="361"/>
    <s v="L1"/>
    <s v="L"/>
    <n v="1"/>
    <s v="K"/>
    <n v="35"/>
    <x v="1"/>
    <x v="1"/>
    <s v="R"/>
    <x v="1"/>
    <x v="4"/>
  </r>
  <r>
    <n v="362"/>
    <s v="L1"/>
    <s v="P"/>
    <n v="50"/>
    <s v="K"/>
    <n v="18"/>
    <x v="1"/>
    <x v="1"/>
    <s v="R"/>
    <x v="1"/>
    <x v="1"/>
  </r>
  <r>
    <n v="363"/>
    <s v="L1"/>
    <s v="P"/>
    <n v="50"/>
    <s v="K"/>
    <n v="19"/>
    <x v="1"/>
    <x v="1"/>
    <s v="R"/>
    <x v="2"/>
    <x v="3"/>
  </r>
  <r>
    <n v="364"/>
    <s v="L5"/>
    <s v="L"/>
    <n v="50"/>
    <s v="M"/>
    <n v="20"/>
    <x v="1"/>
    <x v="1"/>
    <s v="R"/>
    <x v="1"/>
    <x v="3"/>
  </r>
  <r>
    <n v="365"/>
    <s v="L5"/>
    <s v="P"/>
    <n v="1"/>
    <s v="M"/>
    <n v="20"/>
    <x v="1"/>
    <x v="1"/>
    <s v="R"/>
    <x v="2"/>
    <x v="3"/>
  </r>
  <r>
    <n v="366"/>
    <s v="M5"/>
    <s v="L"/>
    <n v="50"/>
    <s v="K"/>
    <n v="34"/>
    <x v="3"/>
    <x v="1"/>
    <s v="M5"/>
    <x v="1"/>
    <x v="1"/>
  </r>
  <r>
    <n v="367"/>
    <s v="L1"/>
    <s v="L"/>
    <n v="1"/>
    <s v="K"/>
    <n v="32"/>
    <x v="1"/>
    <x v="1"/>
    <s v="R"/>
    <x v="1"/>
    <x v="1"/>
  </r>
  <r>
    <n v="368"/>
    <s v="L1"/>
    <s v="P"/>
    <n v="1"/>
    <s v="K"/>
    <n v="51"/>
    <x v="1"/>
    <x v="1"/>
    <s v="R"/>
    <x v="1"/>
    <x v="4"/>
  </r>
  <r>
    <n v="369"/>
    <s v="L1"/>
    <s v="P"/>
    <n v="1"/>
    <s v="M"/>
    <n v="32"/>
    <x v="1"/>
    <x v="2"/>
    <s v="L1"/>
    <x v="2"/>
    <x v="1"/>
  </r>
  <r>
    <n v="370"/>
    <s v="L1"/>
    <s v="P"/>
    <n v="50"/>
    <s v="K"/>
    <n v="21"/>
    <x v="1"/>
    <x v="1"/>
    <s v="R"/>
    <x v="2"/>
    <x v="3"/>
  </r>
  <r>
    <n v="371"/>
    <s v="L1"/>
    <s v="P"/>
    <n v="50"/>
    <s v="M"/>
    <n v="18"/>
    <x v="1"/>
    <x v="1"/>
    <s v="R"/>
    <x v="1"/>
    <x v="1"/>
  </r>
  <r>
    <n v="372"/>
    <s v="L1"/>
    <s v="L"/>
    <n v="50"/>
    <s v="K"/>
    <n v="32"/>
    <x v="7"/>
    <x v="1"/>
    <s v="L1"/>
    <x v="2"/>
    <x v="4"/>
  </r>
  <r>
    <n v="373"/>
    <s v="L1"/>
    <s v="L"/>
    <n v="50"/>
    <s v="M"/>
    <n v="26"/>
    <x v="1"/>
    <x v="1"/>
    <s v="R"/>
    <x v="1"/>
    <x v="1"/>
  </r>
  <r>
    <n v="374"/>
    <s v="L5"/>
    <s v="P"/>
    <n v="1"/>
    <s v="K"/>
    <n v="62"/>
    <x v="6"/>
    <x v="1"/>
    <s v="L5"/>
    <x v="2"/>
    <x v="4"/>
  </r>
  <r>
    <n v="375"/>
    <s v="M1"/>
    <s v="L"/>
    <n v="1"/>
    <s v="K"/>
    <n v="22"/>
    <x v="4"/>
    <x v="1"/>
    <s v="M1"/>
    <x v="1"/>
    <x v="4"/>
  </r>
  <r>
    <n v="376"/>
    <s v="M1"/>
    <s v="P"/>
    <n v="50"/>
    <s v="M"/>
    <n v="26"/>
    <x v="4"/>
    <x v="1"/>
    <s v="M1"/>
    <x v="2"/>
    <x v="4"/>
  </r>
  <r>
    <n v="377"/>
    <s v="M5"/>
    <s v="P"/>
    <n v="1"/>
    <s v="K"/>
    <n v="37"/>
    <x v="3"/>
    <x v="1"/>
    <s v="M5"/>
    <x v="2"/>
    <x v="3"/>
  </r>
  <r>
    <n v="378"/>
    <s v="H1"/>
    <s v="L"/>
    <n v="1"/>
    <s v="M"/>
    <n v="37"/>
    <x v="1"/>
    <x v="1"/>
    <s v="R"/>
    <x v="1"/>
    <x v="4"/>
  </r>
  <r>
    <n v="379"/>
    <s v="L1"/>
    <s v="P"/>
    <n v="1"/>
    <s v="M"/>
    <n v="23"/>
    <x v="1"/>
    <x v="2"/>
    <s v="L1"/>
    <x v="2"/>
    <x v="1"/>
  </r>
  <r>
    <n v="380"/>
    <s v="L1"/>
    <s v="P"/>
    <n v="1"/>
    <s v="M"/>
    <n v="23"/>
    <x v="1"/>
    <x v="2"/>
    <s v="L1"/>
    <x v="1"/>
    <x v="1"/>
  </r>
  <r>
    <n v="381"/>
    <s v="L1"/>
    <s v="P"/>
    <n v="50"/>
    <s v="K"/>
    <n v="26"/>
    <x v="1"/>
    <x v="1"/>
    <s v="R"/>
    <x v="1"/>
    <x v="1"/>
  </r>
  <r>
    <n v="382"/>
    <s v="L5"/>
    <s v="L"/>
    <n v="1"/>
    <s v="M"/>
    <n v="44"/>
    <x v="1"/>
    <x v="1"/>
    <s v="R"/>
    <x v="2"/>
    <x v="1"/>
  </r>
  <r>
    <n v="383"/>
    <s v="L5"/>
    <s v="L"/>
    <n v="1"/>
    <s v="M"/>
    <n v="23"/>
    <x v="1"/>
    <x v="1"/>
    <s v="R"/>
    <x v="1"/>
    <x v="1"/>
  </r>
  <r>
    <n v="384"/>
    <s v="L5"/>
    <s v="L"/>
    <n v="50"/>
    <s v="K"/>
    <n v="62"/>
    <x v="1"/>
    <x v="1"/>
    <s v="R"/>
    <x v="2"/>
    <x v="3"/>
  </r>
  <r>
    <n v="385"/>
    <s v="L5"/>
    <s v="L"/>
    <n v="50"/>
    <s v="M"/>
    <n v="64"/>
    <x v="1"/>
    <x v="1"/>
    <s v="R"/>
    <x v="1"/>
    <x v="1"/>
  </r>
  <r>
    <n v="386"/>
    <s v="H1"/>
    <s v="P"/>
    <n v="1"/>
    <s v="M"/>
    <n v="26"/>
    <x v="1"/>
    <x v="1"/>
    <s v="R"/>
    <x v="1"/>
    <x v="4"/>
  </r>
  <r>
    <n v="387"/>
    <s v="H5"/>
    <s v="P"/>
    <n v="50"/>
    <s v="M"/>
    <n v="23"/>
    <x v="1"/>
    <x v="1"/>
    <s v="R"/>
    <x v="1"/>
    <x v="1"/>
  </r>
  <r>
    <n v="388"/>
    <s v="M1"/>
    <s v="L"/>
    <n v="50"/>
    <s v="K"/>
    <n v="26"/>
    <x v="1"/>
    <x v="2"/>
    <s v="M1"/>
    <x v="1"/>
    <x v="1"/>
  </r>
  <r>
    <n v="389"/>
    <s v="M1"/>
    <s v="P"/>
    <n v="1"/>
    <s v="K"/>
    <n v="37"/>
    <x v="1"/>
    <x v="1"/>
    <s v="R"/>
    <x v="2"/>
    <x v="1"/>
  </r>
  <r>
    <n v="390"/>
    <s v="M5"/>
    <s v="L"/>
    <n v="1"/>
    <s v="K"/>
    <n v="25"/>
    <x v="1"/>
    <x v="1"/>
    <s v="R"/>
    <x v="2"/>
    <x v="3"/>
  </r>
  <r>
    <n v="391"/>
    <s v="M5"/>
    <s v="L"/>
    <n v="1"/>
    <s v="K"/>
    <n v="24"/>
    <x v="1"/>
    <x v="1"/>
    <s v="R"/>
    <x v="1"/>
    <x v="1"/>
  </r>
  <r>
    <n v="392"/>
    <s v="M5"/>
    <s v="P"/>
    <n v="50"/>
    <s v="M"/>
    <n v="19"/>
    <x v="1"/>
    <x v="1"/>
    <s v="R"/>
    <x v="1"/>
    <x v="1"/>
  </r>
  <r>
    <n v="393"/>
    <s v="L1"/>
    <s v="P"/>
    <n v="1"/>
    <s v="K"/>
    <n v="47"/>
    <x v="1"/>
    <x v="1"/>
    <s v="R"/>
    <x v="1"/>
    <x v="4"/>
  </r>
  <r>
    <n v="394"/>
    <s v="L1"/>
    <s v="P"/>
    <n v="50"/>
    <s v="M"/>
    <n v="36"/>
    <x v="1"/>
    <x v="1"/>
    <s v="R"/>
    <x v="1"/>
    <x v="1"/>
  </r>
  <r>
    <n v="395"/>
    <s v="L5"/>
    <s v="L"/>
    <n v="1"/>
    <s v="M"/>
    <n v="21"/>
    <x v="1"/>
    <x v="1"/>
    <s v="R"/>
    <x v="1"/>
    <x v="1"/>
  </r>
  <r>
    <n v="396"/>
    <s v="L5"/>
    <s v="L"/>
    <n v="50"/>
    <s v="M"/>
    <n v="22"/>
    <x v="1"/>
    <x v="2"/>
    <s v="L5"/>
    <x v="1"/>
    <x v="1"/>
  </r>
  <r>
    <n v="397"/>
    <s v="L5"/>
    <s v="L"/>
    <n v="50"/>
    <s v="K"/>
    <n v="38"/>
    <x v="1"/>
    <x v="1"/>
    <s v="R"/>
    <x v="2"/>
    <x v="3"/>
  </r>
  <r>
    <n v="398"/>
    <s v="H1"/>
    <s v="L"/>
    <n v="50"/>
    <s v="K"/>
    <n v="70"/>
    <x v="5"/>
    <x v="1"/>
    <s v="H1"/>
    <x v="1"/>
    <x v="1"/>
  </r>
  <r>
    <n v="399"/>
    <s v="H1"/>
    <s v="P"/>
    <n v="50"/>
    <s v="M"/>
    <n v="18"/>
    <x v="5"/>
    <x v="1"/>
    <s v="H1"/>
    <x v="1"/>
    <x v="3"/>
  </r>
  <r>
    <n v="400"/>
    <s v="M1"/>
    <s v="L"/>
    <n v="1"/>
    <s v="M"/>
    <n v="23"/>
    <x v="1"/>
    <x v="1"/>
    <s v="R"/>
    <x v="1"/>
    <x v="1"/>
  </r>
  <r>
    <n v="401"/>
    <s v="M5"/>
    <s v="P"/>
    <n v="50"/>
    <s v="K"/>
    <n v="18"/>
    <x v="3"/>
    <x v="1"/>
    <s v="M5"/>
    <x v="1"/>
    <x v="1"/>
  </r>
  <r>
    <n v="402"/>
    <s v="L1"/>
    <s v="P"/>
    <n v="50"/>
    <s v="M"/>
    <n v="20"/>
    <x v="1"/>
    <x v="1"/>
    <s v="R"/>
    <x v="2"/>
    <x v="1"/>
  </r>
  <r>
    <n v="403"/>
    <s v="L1"/>
    <s v="P"/>
    <n v="50"/>
    <s v="M"/>
    <n v="20"/>
    <x v="1"/>
    <x v="1"/>
    <s v="R"/>
    <x v="2"/>
    <x v="1"/>
  </r>
  <r>
    <n v="404"/>
    <s v="L1"/>
    <s v="P"/>
    <n v="1"/>
    <s v="M"/>
    <n v="23"/>
    <x v="1"/>
    <x v="2"/>
    <s v="L1"/>
    <x v="1"/>
    <x v="1"/>
  </r>
  <r>
    <n v="405"/>
    <s v="L5"/>
    <s v="L"/>
    <n v="1"/>
    <s v="M"/>
    <n v="32"/>
    <x v="6"/>
    <x v="2"/>
    <s v="R"/>
    <x v="2"/>
    <x v="3"/>
  </r>
  <r>
    <n v="406"/>
    <s v="L5"/>
    <s v="P"/>
    <n v="1"/>
    <s v="M"/>
    <n v="37"/>
    <x v="6"/>
    <x v="1"/>
    <s v="L5"/>
    <x v="2"/>
    <x v="3"/>
  </r>
  <r>
    <n v="407"/>
    <s v="L5"/>
    <s v="P"/>
    <n v="1"/>
    <s v="K"/>
    <n v="21"/>
    <x v="1"/>
    <x v="1"/>
    <s v="R"/>
    <x v="1"/>
    <x v="1"/>
  </r>
  <r>
    <n v="408"/>
    <s v="L5"/>
    <s v="P"/>
    <n v="50"/>
    <s v="K"/>
    <n v="23"/>
    <x v="1"/>
    <x v="1"/>
    <s v="R"/>
    <x v="1"/>
    <x v="4"/>
  </r>
  <r>
    <n v="409"/>
    <s v="L5"/>
    <s v="P"/>
    <n v="50"/>
    <s v="M"/>
    <n v="68"/>
    <x v="6"/>
    <x v="1"/>
    <s v="L5"/>
    <x v="2"/>
    <x v="3"/>
  </r>
  <r>
    <n v="410"/>
    <s v="L5"/>
    <s v="P"/>
    <n v="50"/>
    <s v="K"/>
    <n v="22"/>
    <x v="1"/>
    <x v="1"/>
    <s v="R"/>
    <x v="2"/>
    <x v="1"/>
  </r>
  <r>
    <n v="411"/>
    <s v="H1"/>
    <s v="L"/>
    <n v="50"/>
    <s v="M"/>
    <n v="20"/>
    <x v="1"/>
    <x v="2"/>
    <s v="H1"/>
    <x v="2"/>
    <x v="1"/>
  </r>
  <r>
    <n v="412"/>
    <s v="H1"/>
    <s v="L"/>
    <n v="50"/>
    <s v="M"/>
    <n v="42"/>
    <x v="1"/>
    <x v="1"/>
    <s v="R"/>
    <x v="1"/>
    <x v="4"/>
  </r>
  <r>
    <n v="413"/>
    <s v="H1"/>
    <s v="P"/>
    <n v="50"/>
    <s v="M"/>
    <n v="31"/>
    <x v="1"/>
    <x v="1"/>
    <s v="R"/>
    <x v="2"/>
    <x v="1"/>
  </r>
  <r>
    <n v="414"/>
    <s v="H1"/>
    <s v="P"/>
    <n v="1"/>
    <s v="K"/>
    <n v="24"/>
    <x v="1"/>
    <x v="2"/>
    <s v="H1"/>
    <x v="2"/>
    <x v="1"/>
  </r>
  <r>
    <n v="415"/>
    <s v="H1"/>
    <s v="L"/>
    <n v="1"/>
    <s v="K"/>
    <n v="18"/>
    <x v="1"/>
    <x v="1"/>
    <s v="R"/>
    <x v="2"/>
    <x v="3"/>
  </r>
  <r>
    <n v="416"/>
    <s v="H5"/>
    <s v="L"/>
    <n v="1"/>
    <s v="K"/>
    <n v="22"/>
    <x v="1"/>
    <x v="1"/>
    <s v="R"/>
    <x v="1"/>
    <x v="1"/>
  </r>
  <r>
    <n v="417"/>
    <s v="H5"/>
    <s v="L"/>
    <n v="1"/>
    <s v="M"/>
    <n v="20"/>
    <x v="1"/>
    <x v="1"/>
    <s v="R"/>
    <x v="1"/>
    <x v="1"/>
  </r>
  <r>
    <n v="418"/>
    <s v="H5"/>
    <s v="P"/>
    <n v="1"/>
    <s v="K"/>
    <n v="19"/>
    <x v="1"/>
    <x v="1"/>
    <s v="R"/>
    <x v="2"/>
    <x v="3"/>
  </r>
  <r>
    <n v="419"/>
    <s v="H5"/>
    <s v="P"/>
    <n v="1"/>
    <s v="M"/>
    <n v="35"/>
    <x v="1"/>
    <x v="1"/>
    <s v="R"/>
    <x v="2"/>
    <x v="1"/>
  </r>
  <r>
    <n v="420"/>
    <s v="H5"/>
    <s v="P"/>
    <n v="1"/>
    <s v="M"/>
    <n v="36"/>
    <x v="2"/>
    <x v="1"/>
    <s v="H5"/>
    <x v="1"/>
    <x v="4"/>
  </r>
  <r>
    <n v="421"/>
    <s v="H5"/>
    <s v="L"/>
    <n v="50"/>
    <s v="M"/>
    <n v="21"/>
    <x v="1"/>
    <x v="1"/>
    <s v="R"/>
    <x v="1"/>
    <x v="1"/>
  </r>
  <r>
    <n v="422"/>
    <s v="H5"/>
    <s v="P"/>
    <n v="50"/>
    <s v="M"/>
    <n v="18"/>
    <x v="1"/>
    <x v="2"/>
    <s v="H5"/>
    <x v="2"/>
    <x v="1"/>
  </r>
  <r>
    <n v="423"/>
    <s v="H5"/>
    <s v="P"/>
    <n v="50"/>
    <s v="K"/>
    <n v="68"/>
    <x v="1"/>
    <x v="1"/>
    <s v="R"/>
    <x v="2"/>
    <x v="3"/>
  </r>
  <r>
    <n v="424"/>
    <s v="H5"/>
    <s v="P"/>
    <n v="50"/>
    <s v="M"/>
    <n v="21"/>
    <x v="1"/>
    <x v="1"/>
    <s v="R"/>
    <x v="1"/>
    <x v="1"/>
  </r>
  <r>
    <n v="425"/>
    <s v="M1"/>
    <s v="L"/>
    <n v="50"/>
    <s v="K"/>
    <n v="37"/>
    <x v="4"/>
    <x v="1"/>
    <s v="M1"/>
    <x v="2"/>
    <x v="4"/>
  </r>
  <r>
    <n v="426"/>
    <s v="M1"/>
    <s v="L"/>
    <n v="50"/>
    <s v="K"/>
    <n v="39"/>
    <x v="1"/>
    <x v="1"/>
    <s v="R"/>
    <x v="1"/>
    <x v="4"/>
  </r>
  <r>
    <n v="427"/>
    <s v="M1"/>
    <s v="P"/>
    <n v="50"/>
    <s v="M"/>
    <n v="34"/>
    <x v="1"/>
    <x v="1"/>
    <s v="R"/>
    <x v="1"/>
    <x v="4"/>
  </r>
  <r>
    <n v="428"/>
    <s v="M1"/>
    <s v="P"/>
    <n v="50"/>
    <s v="K"/>
    <n v="40"/>
    <x v="4"/>
    <x v="1"/>
    <s v="M1"/>
    <x v="2"/>
    <x v="1"/>
  </r>
  <r>
    <n v="429"/>
    <s v="M1"/>
    <s v="L"/>
    <n v="1"/>
    <s v="K"/>
    <n v="65"/>
    <x v="4"/>
    <x v="2"/>
    <s v="R"/>
    <x v="2"/>
    <x v="3"/>
  </r>
  <r>
    <n v="430"/>
    <s v="M1"/>
    <s v="L"/>
    <n v="1"/>
    <s v="M"/>
    <n v="22"/>
    <x v="4"/>
    <x v="1"/>
    <s v="M1"/>
    <x v="1"/>
    <x v="1"/>
  </r>
  <r>
    <n v="431"/>
    <s v="M1"/>
    <s v="L"/>
    <n v="1"/>
    <s v="K"/>
    <n v="32"/>
    <x v="4"/>
    <x v="1"/>
    <s v="M1"/>
    <x v="1"/>
    <x v="1"/>
  </r>
  <r>
    <n v="432"/>
    <s v="M1"/>
    <s v="P"/>
    <n v="1"/>
    <s v="M"/>
    <n v="62"/>
    <x v="1"/>
    <x v="1"/>
    <s v="R"/>
    <x v="1"/>
    <x v="1"/>
  </r>
  <r>
    <n v="433"/>
    <s v="M5"/>
    <s v="L"/>
    <n v="1"/>
    <s v="M"/>
    <n v="63"/>
    <x v="1"/>
    <x v="1"/>
    <s v="R"/>
    <x v="1"/>
    <x v="3"/>
  </r>
  <r>
    <n v="434"/>
    <s v="M5"/>
    <s v="P"/>
    <n v="1"/>
    <s v="M"/>
    <n v="31"/>
    <x v="3"/>
    <x v="1"/>
    <s v="M5"/>
    <x v="2"/>
    <x v="3"/>
  </r>
  <r>
    <n v="435"/>
    <s v="M5"/>
    <s v="P"/>
    <n v="1"/>
    <s v="M"/>
    <n v="37"/>
    <x v="1"/>
    <x v="1"/>
    <s v="R"/>
    <x v="1"/>
    <x v="4"/>
  </r>
  <r>
    <n v="436"/>
    <s v="M5"/>
    <s v="L"/>
    <n v="50"/>
    <s v="K"/>
    <n v="24"/>
    <x v="1"/>
    <x v="1"/>
    <s v="R"/>
    <x v="1"/>
    <x v="4"/>
  </r>
  <r>
    <n v="437"/>
    <s v="L1"/>
    <s v="P"/>
    <n v="1"/>
    <s v="M"/>
    <n v="25"/>
    <x v="1"/>
    <x v="2"/>
    <s v="L1"/>
    <x v="2"/>
    <x v="1"/>
  </r>
  <r>
    <n v="438"/>
    <s v="L1"/>
    <s v="P"/>
    <n v="50"/>
    <s v="M"/>
    <n v="40"/>
    <x v="1"/>
    <x v="1"/>
    <s v="R"/>
    <x v="2"/>
    <x v="3"/>
  </r>
  <r>
    <n v="439"/>
    <s v="L5"/>
    <s v="P"/>
    <n v="50"/>
    <s v="K"/>
    <n v="29"/>
    <x v="1"/>
    <x v="1"/>
    <s v="R"/>
    <x v="2"/>
    <x v="1"/>
  </r>
  <r>
    <n v="440"/>
    <s v="L5"/>
    <s v="P"/>
    <n v="50"/>
    <s v="M"/>
    <n v="29"/>
    <x v="1"/>
    <x v="1"/>
    <s v="R"/>
    <x v="1"/>
    <x v="4"/>
  </r>
  <r>
    <n v="441"/>
    <s v="H1"/>
    <s v="L"/>
    <n v="1"/>
    <s v="M"/>
    <n v="49"/>
    <x v="1"/>
    <x v="1"/>
    <s v="R"/>
    <x v="2"/>
    <x v="1"/>
  </r>
  <r>
    <n v="442"/>
    <s v="H1"/>
    <s v="L"/>
    <n v="1"/>
    <s v="K"/>
    <n v="45"/>
    <x v="1"/>
    <x v="2"/>
    <s v="H1"/>
    <x v="2"/>
    <x v="1"/>
  </r>
  <r>
    <n v="443"/>
    <s v="H1"/>
    <s v="L"/>
    <n v="1"/>
    <s v="K"/>
    <n v="44"/>
    <x v="1"/>
    <x v="1"/>
    <s v="R"/>
    <x v="1"/>
    <x v="1"/>
  </r>
  <r>
    <n v="444"/>
    <s v="H1"/>
    <s v="L"/>
    <n v="50"/>
    <s v="K"/>
    <n v="20"/>
    <x v="1"/>
    <x v="1"/>
    <s v="R"/>
    <x v="1"/>
    <x v="4"/>
  </r>
  <r>
    <n v="445"/>
    <s v="H1"/>
    <s v="L"/>
    <n v="50"/>
    <s v="K"/>
    <n v="41"/>
    <x v="1"/>
    <x v="1"/>
    <s v="R"/>
    <x v="2"/>
    <x v="1"/>
  </r>
  <r>
    <n v="446"/>
    <s v="H1"/>
    <s v="L"/>
    <n v="50"/>
    <s v="M"/>
    <n v="18"/>
    <x v="1"/>
    <x v="1"/>
    <s v="R"/>
    <x v="2"/>
    <x v="3"/>
  </r>
  <r>
    <n v="447"/>
    <s v="H1"/>
    <s v="P"/>
    <n v="50"/>
    <s v="M"/>
    <n v="22"/>
    <x v="5"/>
    <x v="1"/>
    <s v="H1"/>
    <x v="2"/>
    <x v="1"/>
  </r>
  <r>
    <n v="448"/>
    <s v="H5"/>
    <s v="L"/>
    <n v="50"/>
    <s v="M"/>
    <n v="20"/>
    <x v="2"/>
    <x v="1"/>
    <s v="H5"/>
    <x v="2"/>
    <x v="3"/>
  </r>
  <r>
    <n v="449"/>
    <s v="H5"/>
    <s v="L"/>
    <n v="50"/>
    <s v="M"/>
    <n v="24"/>
    <x v="1"/>
    <x v="2"/>
    <s v="H5"/>
    <x v="2"/>
    <x v="2"/>
  </r>
  <r>
    <n v="450"/>
    <s v="H5"/>
    <s v="L"/>
    <n v="50"/>
    <s v="K"/>
    <n v="52"/>
    <x v="1"/>
    <x v="1"/>
    <s v="R"/>
    <x v="1"/>
    <x v="4"/>
  </r>
  <r>
    <n v="451"/>
    <s v="H5"/>
    <s v="P"/>
    <n v="50"/>
    <s v="M"/>
    <n v="37"/>
    <x v="1"/>
    <x v="2"/>
    <s v="H5"/>
    <x v="2"/>
    <x v="1"/>
  </r>
  <r>
    <n v="452"/>
    <s v="H5"/>
    <s v="P"/>
    <n v="50"/>
    <s v="M"/>
    <n v="44"/>
    <x v="1"/>
    <x v="1"/>
    <s v="R"/>
    <x v="1"/>
    <x v="1"/>
  </r>
  <r>
    <n v="453"/>
    <s v="H5"/>
    <s v="P"/>
    <n v="1"/>
    <s v="K"/>
    <n v="22"/>
    <x v="2"/>
    <x v="2"/>
    <s v="R"/>
    <x v="1"/>
    <x v="1"/>
  </r>
  <r>
    <n v="454"/>
    <s v="H5"/>
    <s v="L"/>
    <n v="1"/>
    <s v="K"/>
    <n v="62"/>
    <x v="1"/>
    <x v="1"/>
    <s v="R"/>
    <x v="1"/>
    <x v="4"/>
  </r>
  <r>
    <n v="455"/>
    <s v="H5"/>
    <s v="L"/>
    <n v="1"/>
    <s v="K"/>
    <n v="18"/>
    <x v="1"/>
    <x v="2"/>
    <s v="H5"/>
    <x v="2"/>
    <x v="4"/>
  </r>
  <r>
    <n v="456"/>
    <s v="H5"/>
    <s v="L"/>
    <n v="1"/>
    <s v="K"/>
    <n v="35"/>
    <x v="1"/>
    <x v="1"/>
    <s v="R"/>
    <x v="2"/>
    <x v="1"/>
  </r>
  <r>
    <n v="457"/>
    <s v="M1"/>
    <s v="L"/>
    <n v="1"/>
    <s v="K"/>
    <n v="63"/>
    <x v="1"/>
    <x v="1"/>
    <s v="R"/>
    <x v="2"/>
    <x v="4"/>
  </r>
  <r>
    <n v="458"/>
    <s v="M1"/>
    <s v="P"/>
    <n v="1"/>
    <s v="K"/>
    <n v="42"/>
    <x v="4"/>
    <x v="1"/>
    <s v="M1"/>
    <x v="2"/>
    <x v="1"/>
  </r>
  <r>
    <n v="459"/>
    <s v="M1"/>
    <s v="P"/>
    <n v="1"/>
    <s v="M"/>
    <n v="43"/>
    <x v="1"/>
    <x v="1"/>
    <s v="R"/>
    <x v="1"/>
    <x v="1"/>
  </r>
  <r>
    <n v="460"/>
    <s v="M1"/>
    <s v="L"/>
    <n v="50"/>
    <s v="K"/>
    <n v="37"/>
    <x v="4"/>
    <x v="1"/>
    <s v="M1"/>
    <x v="2"/>
    <x v="3"/>
  </r>
  <r>
    <n v="461"/>
    <s v="M1"/>
    <s v="L"/>
    <n v="50"/>
    <s v="M"/>
    <n v="26"/>
    <x v="1"/>
    <x v="1"/>
    <s v="R"/>
    <x v="2"/>
    <x v="1"/>
  </r>
  <r>
    <n v="462"/>
    <s v="M1"/>
    <s v="L"/>
    <n v="50"/>
    <s v="M"/>
    <n v="23"/>
    <x v="1"/>
    <x v="1"/>
    <s v="R"/>
    <x v="1"/>
    <x v="1"/>
  </r>
  <r>
    <n v="463"/>
    <s v="M1"/>
    <s v="P"/>
    <n v="50"/>
    <s v="K"/>
    <n v="47"/>
    <x v="4"/>
    <x v="1"/>
    <s v="M1"/>
    <x v="2"/>
    <x v="4"/>
  </r>
  <r>
    <n v="464"/>
    <s v="M5"/>
    <s v="P"/>
    <n v="50"/>
    <s v="M"/>
    <n v="52"/>
    <x v="1"/>
    <x v="1"/>
    <s v="R"/>
    <x v="2"/>
    <x v="1"/>
  </r>
  <r>
    <n v="465"/>
    <s v="M5"/>
    <s v="L"/>
    <n v="50"/>
    <s v="M"/>
    <n v="34"/>
    <x v="3"/>
    <x v="1"/>
    <s v="M5"/>
    <x v="2"/>
    <x v="3"/>
  </r>
  <r>
    <n v="466"/>
    <s v="M5"/>
    <s v="L"/>
    <n v="50"/>
    <s v="K"/>
    <n v="21"/>
    <x v="1"/>
    <x v="1"/>
    <s v="R"/>
    <x v="1"/>
    <x v="1"/>
  </r>
  <r>
    <n v="467"/>
    <s v="M5"/>
    <s v="L"/>
    <n v="50"/>
    <s v="K"/>
    <n v="22"/>
    <x v="3"/>
    <x v="1"/>
    <s v="M5"/>
    <x v="1"/>
    <x v="4"/>
  </r>
  <r>
    <n v="468"/>
    <s v="M5"/>
    <s v="L"/>
    <n v="50"/>
    <s v="M"/>
    <n v="49"/>
    <x v="3"/>
    <x v="2"/>
    <s v="R"/>
    <x v="1"/>
    <x v="1"/>
  </r>
  <r>
    <n v="469"/>
    <s v="M5"/>
    <s v="L"/>
    <n v="1"/>
    <s v="M"/>
    <n v="30"/>
    <x v="3"/>
    <x v="1"/>
    <s v="M5"/>
    <x v="2"/>
    <x v="3"/>
  </r>
  <r>
    <n v="470"/>
    <s v="M5"/>
    <s v="L"/>
    <n v="1"/>
    <s v="K"/>
    <n v="36"/>
    <x v="3"/>
    <x v="1"/>
    <s v="M5"/>
    <x v="1"/>
    <x v="4"/>
  </r>
  <r>
    <n v="471"/>
    <s v="M5"/>
    <s v="P"/>
    <n v="1"/>
    <s v="M"/>
    <n v="59"/>
    <x v="3"/>
    <x v="1"/>
    <s v="M5"/>
    <x v="2"/>
    <x v="1"/>
  </r>
  <r>
    <n v="472"/>
    <s v="M5"/>
    <s v="L"/>
    <n v="1"/>
    <s v="M"/>
    <n v="22"/>
    <x v="3"/>
    <x v="1"/>
    <s v="M5"/>
    <x v="1"/>
    <x v="4"/>
  </r>
  <r>
    <m/>
    <m/>
    <m/>
    <m/>
    <m/>
    <m/>
    <x v="8"/>
    <x v="3"/>
    <m/>
    <x v="3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652696E-274A-D24F-B2CF-334D885ABE1C}" name="PivotTable1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A3:E22" firstHeaderRow="1" firstDataRow="3" firstDataCol="1" rowPageCount="1" colPageCount="1"/>
  <pivotFields count="15">
    <pivotField dataField="1" showAll="0"/>
    <pivotField showAll="0"/>
    <pivotField showAll="0"/>
    <pivotField axis="axisRow" showAll="0">
      <items count="5">
        <item x="2"/>
        <item x="1"/>
        <item x="0"/>
        <item x="3"/>
        <item t="default"/>
      </items>
    </pivotField>
    <pivotField axis="axisCol" showAll="0">
      <items count="5">
        <item x="2"/>
        <item x="1"/>
        <item h="1" x="0"/>
        <item h="1" x="3"/>
        <item t="default"/>
      </items>
    </pivotField>
    <pivotField showAll="0"/>
    <pivotField axis="axisRow" showAll="0">
      <items count="10">
        <item h="1" x="0"/>
        <item x="5"/>
        <item x="2"/>
        <item x="7"/>
        <item x="6"/>
        <item x="4"/>
        <item x="3"/>
        <item x="1"/>
        <item h="1" x="8"/>
        <item t="default"/>
      </items>
    </pivotField>
    <pivotField axis="axisPage" multipleItemSelectionAllowed="1" showAll="0">
      <items count="5">
        <item h="1" x="1"/>
        <item h="1" x="0"/>
        <item x="2"/>
        <item h="1" x="3"/>
        <item t="default"/>
      </items>
    </pivotField>
    <pivotField showAll="0"/>
    <pivotField showAll="0"/>
    <pivotField showAll="0"/>
    <pivotField showAll="0"/>
    <pivotField showAll="0"/>
    <pivotField showAll="0"/>
    <pivotField axis="axisCol" showAll="0">
      <items count="5">
        <item h="1" x="1"/>
        <item h="1" x="0"/>
        <item x="2"/>
        <item h="1" x="3"/>
        <item t="default"/>
      </items>
    </pivotField>
  </pivotFields>
  <rowFields count="2">
    <field x="6"/>
    <field x="3"/>
  </rowFields>
  <rowItems count="17">
    <i>
      <x v="1"/>
    </i>
    <i r="1">
      <x v="1"/>
    </i>
    <i>
      <x v="2"/>
    </i>
    <i r="1">
      <x/>
    </i>
    <i>
      <x v="3"/>
    </i>
    <i r="1">
      <x v="1"/>
    </i>
    <i>
      <x v="4"/>
    </i>
    <i r="1">
      <x/>
    </i>
    <i>
      <x v="5"/>
    </i>
    <i r="1">
      <x/>
    </i>
    <i r="1">
      <x v="1"/>
    </i>
    <i>
      <x v="6"/>
    </i>
    <i r="1">
      <x v="1"/>
    </i>
    <i>
      <x v="7"/>
    </i>
    <i r="1">
      <x/>
    </i>
    <i r="1">
      <x v="1"/>
    </i>
    <i t="grand">
      <x/>
    </i>
  </rowItems>
  <colFields count="2">
    <field x="14"/>
    <field x="4"/>
  </colFields>
  <colItems count="4">
    <i>
      <x v="2"/>
      <x/>
    </i>
    <i r="1">
      <x v="1"/>
    </i>
    <i t="default">
      <x v="2"/>
    </i>
    <i t="grand">
      <x/>
    </i>
  </colItems>
  <pageFields count="1">
    <pageField fld="7" hier="-1"/>
  </pageFields>
  <dataFields count="1">
    <dataField name="Count of no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PivotTable20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27:B46" firstHeaderRow="1" firstDataRow="1" firstDataCol="1"/>
  <pivotFields count="30">
    <pivotField dataField="1" showAll="0"/>
    <pivotField axis="axisRow" showAll="0">
      <items count="8">
        <item x="2"/>
        <item x="5"/>
        <item x="1"/>
        <item x="3"/>
        <item x="4"/>
        <item x="6"/>
        <item h="1" x="0"/>
        <item t="default"/>
      </items>
    </pivotField>
    <pivotField showAll="0"/>
    <pivotField showAll="0"/>
    <pivotField showAll="0" defaultSubtotal="0"/>
    <pivotField showAll="0" defaultSubtotal="0"/>
    <pivotField showAll="0"/>
    <pivotField showAll="0"/>
    <pivotField showAll="0"/>
    <pivotField axis="axisRow" showAll="0">
      <items count="4"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1"/>
    <field x="9"/>
  </rowFields>
  <rowItems count="19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>
      <x v="4"/>
    </i>
    <i r="1">
      <x/>
    </i>
    <i r="1">
      <x v="1"/>
    </i>
    <i>
      <x v="5"/>
    </i>
    <i r="1">
      <x/>
    </i>
    <i r="1">
      <x v="1"/>
    </i>
    <i t="grand">
      <x/>
    </i>
  </rowItems>
  <colItems count="1">
    <i/>
  </colItems>
  <dataFields count="1">
    <dataField name="Count of no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3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J35:M46" firstHeaderRow="1" firstDataRow="2" firstDataCol="1"/>
  <pivotFields count="30">
    <pivotField dataField="1" showAll="0"/>
    <pivotField showAll="0"/>
    <pivotField showAll="0"/>
    <pivotField showAl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axis="axisCol">
      <items count="4">
        <item x="1"/>
        <item x="2"/>
        <item h="1" x="0"/>
        <item t="default"/>
      </items>
    </pivotField>
    <pivotField axis="axisRow">
      <items count="20">
        <item h="1" m="1" x="13"/>
        <item h="1" m="1" x="15"/>
        <item x="5"/>
        <item h="1" m="1" x="14"/>
        <item h="1" x="0"/>
        <item x="2"/>
        <item h="1" m="1" x="17"/>
        <item h="1" m="1" x="16"/>
        <item h="1" m="1" x="18"/>
        <item h="1" m="1" x="12"/>
        <item h="1" m="1" x="10"/>
        <item x="6"/>
        <item x="1"/>
        <item x="3"/>
        <item x="4"/>
        <item h="1" m="1" x="11"/>
        <item x="7"/>
        <item x="8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</pivotFields>
  <rowFields count="1">
    <field x="13"/>
  </rowFields>
  <rowItems count="10">
    <i>
      <x v="2"/>
    </i>
    <i>
      <x v="5"/>
    </i>
    <i>
      <x v="11"/>
    </i>
    <i>
      <x v="12"/>
    </i>
    <i>
      <x v="13"/>
    </i>
    <i>
      <x v="14"/>
    </i>
    <i>
      <x v="16"/>
    </i>
    <i>
      <x v="17"/>
    </i>
    <i>
      <x v="18"/>
    </i>
    <i t="grand">
      <x/>
    </i>
  </rowItems>
  <colFields count="1">
    <field x="12"/>
  </colFields>
  <colItems count="3">
    <i>
      <x/>
    </i>
    <i>
      <x v="1"/>
    </i>
    <i t="grand">
      <x/>
    </i>
  </colItems>
  <dataFields count="1">
    <dataField name="Count of no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5000000}" name="PivotTable5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if 3H/T" colHeaderCaption="then 4th?">
  <location ref="F15:K19" firstHeaderRow="1" firstDataRow="2" firstDataCol="1"/>
  <pivotFields count="30">
    <pivotField dataField="1" showAll="0"/>
    <pivotField showAll="0"/>
    <pivotField showAll="0"/>
    <pivotField showAll="0"/>
    <pivotField showAll="0" defaultSubtotal="0"/>
    <pivotField showAll="0" defaultSubtotal="0"/>
    <pivotField showAll="0"/>
    <pivotField showAll="0"/>
    <pivotField showAll="0"/>
    <pivotField axis="axisRow" showAll="0" countASubtotal="1">
      <items count="4">
        <item x="2"/>
        <item x="1"/>
        <item h="1" x="0"/>
        <item t="countA"/>
      </items>
    </pivotField>
    <pivotField axis="axisCol" showAll="0" countASubtotal="1">
      <items count="6">
        <item x="2"/>
        <item x="1"/>
        <item h="1" x="0"/>
        <item x="4"/>
        <item x="3"/>
        <item t="countA"/>
      </items>
    </pivotField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9"/>
  </rowFields>
  <rowItems count="3">
    <i>
      <x/>
    </i>
    <i>
      <x v="1"/>
    </i>
    <i t="grand">
      <x/>
    </i>
  </rowItems>
  <colFields count="1">
    <field x="10"/>
  </colFields>
  <colItems count="5">
    <i>
      <x/>
    </i>
    <i>
      <x v="1"/>
    </i>
    <i>
      <x v="3"/>
    </i>
    <i>
      <x v="4"/>
    </i>
    <i t="grand">
      <x/>
    </i>
  </colItems>
  <dataFields count="1">
    <dataField name="Count of no" fld="0" subtotal="count" baseField="0" baseItem="0"/>
  </dataFields>
  <formats count="1">
    <format dxfId="43">
      <pivotArea dataOnly="0" labelOnly="1" fieldPosition="0">
        <references count="1">
          <reference field="10" count="3">
            <x v="1"/>
            <x v="3"/>
            <x v="4"/>
          </reference>
        </references>
      </pivotArea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8000000}" name="summary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D23" firstHeaderRow="1" firstDataRow="2" firstDataCol="1"/>
  <pivotFields count="30">
    <pivotField dataField="1" showAll="0"/>
    <pivotField axis="axisRow" showAll="0">
      <items count="8">
        <item x="2"/>
        <item x="5"/>
        <item x="1"/>
        <item x="3"/>
        <item x="4"/>
        <item x="6"/>
        <item h="1" x="0"/>
        <item t="default"/>
      </items>
    </pivotField>
    <pivotField axis="axisRow" showAll="0">
      <items count="4">
        <item x="2"/>
        <item x="0"/>
        <item x="1"/>
        <item t="default"/>
      </items>
    </pivotField>
    <pivotField axis="axisCol" showAll="0">
      <items count="4">
        <item n="1zł" x="2"/>
        <item n="50gr" x="1"/>
        <item h="1" x="0"/>
        <item t="default"/>
      </items>
    </pivotField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1"/>
    <field x="2"/>
  </rowFields>
  <rowItems count="19">
    <i>
      <x/>
    </i>
    <i r="1">
      <x/>
    </i>
    <i r="1">
      <x v="2"/>
    </i>
    <i>
      <x v="1"/>
    </i>
    <i r="1">
      <x/>
    </i>
    <i r="1">
      <x v="2"/>
    </i>
    <i>
      <x v="2"/>
    </i>
    <i r="1">
      <x/>
    </i>
    <i r="1">
      <x v="2"/>
    </i>
    <i>
      <x v="3"/>
    </i>
    <i r="1">
      <x/>
    </i>
    <i r="1">
      <x v="2"/>
    </i>
    <i>
      <x v="4"/>
    </i>
    <i r="1">
      <x/>
    </i>
    <i r="1">
      <x v="2"/>
    </i>
    <i>
      <x v="5"/>
    </i>
    <i r="1">
      <x/>
    </i>
    <i r="1">
      <x v="2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Count of no" fld="0" subtotal="count" baseField="0" baseItem="0"/>
  </dataFields>
  <formats count="1">
    <format dxfId="42">
      <pivotArea dataOnly="0" labelOnly="1" fieldPosition="0">
        <references count="1">
          <reference field="3" count="1">
            <x v="0"/>
          </reference>
        </references>
      </pivotArea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2000000}" name="PivotTable30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E32:F51" firstHeaderRow="1" firstDataRow="1" firstDataCol="1"/>
  <pivotFields count="30">
    <pivotField dataField="1" showAll="0"/>
    <pivotField axis="axisRow" showAll="0">
      <items count="8">
        <item x="2"/>
        <item x="5"/>
        <item x="1"/>
        <item x="3"/>
        <item x="4"/>
        <item x="6"/>
        <item h="1" x="0"/>
        <item t="default"/>
      </items>
    </pivotField>
    <pivotField showAll="0"/>
    <pivotField showAl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axis="axisRow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1"/>
    <field x="12"/>
  </rowFields>
  <rowItems count="19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>
      <x v="4"/>
    </i>
    <i r="1">
      <x/>
    </i>
    <i r="1">
      <x v="1"/>
    </i>
    <i>
      <x v="5"/>
    </i>
    <i r="1">
      <x/>
    </i>
    <i r="1">
      <x v="1"/>
    </i>
    <i t="grand">
      <x/>
    </i>
  </rowItems>
  <colItems count="1">
    <i/>
  </colItems>
  <dataFields count="1">
    <dataField name="Count of no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6000000}" name="PivotTable6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24:G27" firstHeaderRow="1" firstDataRow="1" firstDataCol="1"/>
  <pivotFields count="30">
    <pivotField dataField="1" showAll="0"/>
    <pivotField showAll="0"/>
    <pivotField showAll="0"/>
    <pivotField showAl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axis="axisRow" showAll="0">
      <items count="4">
        <item x="1"/>
        <item x="2"/>
        <item h="1" x="0"/>
        <item t="default"/>
      </items>
    </pivotField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2"/>
  </rowFields>
  <rowItems count="3">
    <i>
      <x/>
    </i>
    <i>
      <x v="1"/>
    </i>
    <i t="grand">
      <x/>
    </i>
  </rowItems>
  <colItems count="1">
    <i/>
  </colItems>
  <dataFields count="1">
    <dataField name="Count of no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7000000}" name="PivotTable7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J24:K27" firstHeaderRow="1" firstDataRow="1" firstDataCol="1"/>
  <pivotFields count="30">
    <pivotField dataField="1" showAll="0"/>
    <pivotField showAll="0"/>
    <pivotField showAll="0"/>
    <pivotField showAll="0"/>
    <pivotField axis="axisRow" showAll="0" defaultSubtotal="0">
      <items count="3">
        <item x="2"/>
        <item x="1"/>
        <item h="1" x="0"/>
      </items>
    </pivotField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4"/>
  </rowFields>
  <rowItems count="3">
    <i>
      <x/>
    </i>
    <i>
      <x v="1"/>
    </i>
    <i t="grand">
      <x/>
    </i>
  </rowItems>
  <colItems count="1">
    <i/>
  </colItems>
  <dataFields count="1">
    <dataField name="Count of no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4000000}" name="PivotTable4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1/50">
  <location ref="F4:I8" firstHeaderRow="1" firstDataRow="2" firstDataCol="1"/>
  <pivotFields count="30">
    <pivotField dataField="1" showAll="0" countASubtotal="1"/>
    <pivotField showAll="0"/>
    <pivotField showAll="0"/>
    <pivotField axis="axisRow" showAll="0" countASubtotal="1">
      <items count="4">
        <item x="2"/>
        <item x="1"/>
        <item h="1" x="0"/>
        <item t="countA"/>
      </items>
    </pivotField>
    <pivotField showAll="0" defaultSubtotal="0"/>
    <pivotField showAll="0" defaultSubtotal="0"/>
    <pivotField showAll="0"/>
    <pivotField axis="axisCol" showAll="0" countASubtotal="1">
      <items count="5">
        <item x="1"/>
        <item h="1" x="0"/>
        <item x="2"/>
        <item h="1" m="1" x="3"/>
        <item t="countA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3"/>
  </rowFields>
  <rowItems count="3">
    <i>
      <x/>
    </i>
    <i>
      <x v="1"/>
    </i>
    <i t="grand">
      <x/>
    </i>
  </rowItems>
  <colFields count="1">
    <field x="7"/>
  </colFields>
  <colItems count="3">
    <i>
      <x/>
    </i>
    <i>
      <x v="2"/>
    </i>
    <i t="grand">
      <x/>
    </i>
  </colItems>
  <dataFields count="1">
    <dataField name="Count of no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3000000}" name="PivotTable32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P4:S528" firstHeaderRow="1" firstDataRow="2" firstDataCol="1"/>
  <pivotFields count="30">
    <pivotField dataField="1" showAll="0"/>
    <pivotField axis="axisRow" showAll="0">
      <items count="8">
        <item x="2"/>
        <item x="5"/>
        <item x="1"/>
        <item x="3"/>
        <item x="4"/>
        <item x="6"/>
        <item h="1" x="0"/>
        <item t="default"/>
      </items>
    </pivotField>
    <pivotField axis="axisRow" showAll="0">
      <items count="4">
        <item x="2"/>
        <item h="1" x="0"/>
        <item x="1"/>
        <item t="default"/>
      </items>
    </pivotField>
    <pivotField axis="axisRow">
      <items count="4">
        <item x="2"/>
        <item x="1"/>
        <item h="1" x="0"/>
        <item t="default"/>
      </items>
    </pivotField>
    <pivotField showAll="0" defaultSubtotal="0"/>
    <pivotField showAll="0" defaultSubtotal="0"/>
    <pivotField showAll="0"/>
    <pivotField showAll="0"/>
    <pivotField showAll="0"/>
    <pivotField axis="axisCol" showAll="0">
      <items count="4">
        <item x="2"/>
        <item x="1"/>
        <item h="1" x="0"/>
        <item t="default"/>
      </items>
    </pivotField>
    <pivotField showAll="0"/>
    <pivotField showAll="0"/>
    <pivotField axis="axisRow">
      <items count="4">
        <item x="1"/>
        <item x="2"/>
        <item h="1" x="0"/>
        <item t="default"/>
      </items>
    </pivotField>
    <pivotField axis="axisRow">
      <items count="20">
        <item m="1" x="13"/>
        <item m="1" x="15"/>
        <item x="5"/>
        <item m="1" x="14"/>
        <item h="1" x="0"/>
        <item x="2"/>
        <item m="1" x="17"/>
        <item m="1" x="16"/>
        <item m="1" x="18"/>
        <item m="1" x="12"/>
        <item h="1" m="1" x="10"/>
        <item h="1" x="6"/>
        <item h="1" x="1"/>
        <item h="1" x="3"/>
        <item h="1" x="4"/>
        <item h="1" m="1" x="11"/>
        <item h="1" x="7"/>
        <item h="1" x="8"/>
        <item h="1" x="9"/>
        <item t="default"/>
      </items>
    </pivotField>
    <pivotField showAll="0"/>
    <pivotField showAl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5">
    <field x="1"/>
    <field x="2"/>
    <field x="3"/>
    <field x="12"/>
    <field x="13"/>
  </rowFields>
  <rowItems count="523">
    <i>
      <x/>
    </i>
    <i r="1">
      <x/>
    </i>
    <i r="2">
      <x/>
    </i>
    <i r="3">
      <x/>
    </i>
    <i r="4">
      <x/>
    </i>
    <i r="4">
      <x v="1"/>
    </i>
    <i r="4">
      <x v="2"/>
    </i>
    <i r="4">
      <x v="3"/>
    </i>
    <i r="4">
      <x v="5"/>
    </i>
    <i r="4">
      <x v="6"/>
    </i>
    <i r="4">
      <x v="7"/>
    </i>
    <i r="4">
      <x v="8"/>
    </i>
    <i r="4">
      <x v="9"/>
    </i>
    <i r="3">
      <x v="1"/>
    </i>
    <i r="4">
      <x/>
    </i>
    <i r="4">
      <x v="1"/>
    </i>
    <i r="4">
      <x v="2"/>
    </i>
    <i r="4">
      <x v="3"/>
    </i>
    <i r="4">
      <x v="5"/>
    </i>
    <i r="4">
      <x v="6"/>
    </i>
    <i r="4">
      <x v="7"/>
    </i>
    <i r="4">
      <x v="8"/>
    </i>
    <i r="4">
      <x v="9"/>
    </i>
    <i r="2">
      <x v="1"/>
    </i>
    <i r="3">
      <x/>
    </i>
    <i r="4">
      <x/>
    </i>
    <i r="4">
      <x v="1"/>
    </i>
    <i r="4">
      <x v="2"/>
    </i>
    <i r="4">
      <x v="3"/>
    </i>
    <i r="4">
      <x v="5"/>
    </i>
    <i r="4">
      <x v="6"/>
    </i>
    <i r="4">
      <x v="7"/>
    </i>
    <i r="4">
      <x v="8"/>
    </i>
    <i r="4">
      <x v="9"/>
    </i>
    <i r="3">
      <x v="1"/>
    </i>
    <i r="4">
      <x/>
    </i>
    <i r="4">
      <x v="1"/>
    </i>
    <i r="4">
      <x v="2"/>
    </i>
    <i r="4">
      <x v="3"/>
    </i>
    <i r="4">
      <x v="5"/>
    </i>
    <i r="4">
      <x v="6"/>
    </i>
    <i r="4">
      <x v="7"/>
    </i>
    <i r="4">
      <x v="8"/>
    </i>
    <i r="4">
      <x v="9"/>
    </i>
    <i r="1">
      <x v="2"/>
    </i>
    <i r="2">
      <x/>
    </i>
    <i r="3">
      <x/>
    </i>
    <i r="4">
      <x/>
    </i>
    <i r="4">
      <x v="1"/>
    </i>
    <i r="4">
      <x v="2"/>
    </i>
    <i r="4">
      <x v="3"/>
    </i>
    <i r="4">
      <x v="5"/>
    </i>
    <i r="4">
      <x v="6"/>
    </i>
    <i r="4">
      <x v="7"/>
    </i>
    <i r="4">
      <x v="8"/>
    </i>
    <i r="4">
      <x v="9"/>
    </i>
    <i r="3">
      <x v="1"/>
    </i>
    <i r="4">
      <x/>
    </i>
    <i r="4">
      <x v="1"/>
    </i>
    <i r="4">
      <x v="2"/>
    </i>
    <i r="4">
      <x v="3"/>
    </i>
    <i r="4">
      <x v="5"/>
    </i>
    <i r="4">
      <x v="6"/>
    </i>
    <i r="4">
      <x v="7"/>
    </i>
    <i r="4">
      <x v="8"/>
    </i>
    <i r="4">
      <x v="9"/>
    </i>
    <i r="2">
      <x v="1"/>
    </i>
    <i r="3">
      <x/>
    </i>
    <i r="4">
      <x/>
    </i>
    <i r="4">
      <x v="1"/>
    </i>
    <i r="4">
      <x v="2"/>
    </i>
    <i r="4">
      <x v="3"/>
    </i>
    <i r="4">
      <x v="5"/>
    </i>
    <i r="4">
      <x v="6"/>
    </i>
    <i r="4">
      <x v="7"/>
    </i>
    <i r="4">
      <x v="8"/>
    </i>
    <i r="4">
      <x v="9"/>
    </i>
    <i r="3">
      <x v="1"/>
    </i>
    <i r="4">
      <x/>
    </i>
    <i r="4">
      <x v="1"/>
    </i>
    <i r="4">
      <x v="2"/>
    </i>
    <i r="4">
      <x v="3"/>
    </i>
    <i r="4">
      <x v="5"/>
    </i>
    <i r="4">
      <x v="6"/>
    </i>
    <i r="4">
      <x v="7"/>
    </i>
    <i r="4">
      <x v="8"/>
    </i>
    <i r="4">
      <x v="9"/>
    </i>
    <i>
      <x v="1"/>
    </i>
    <i r="1">
      <x/>
    </i>
    <i r="2">
      <x/>
    </i>
    <i r="3">
      <x/>
    </i>
    <i r="4">
      <x/>
    </i>
    <i r="4">
      <x v="1"/>
    </i>
    <i r="4">
      <x v="2"/>
    </i>
    <i r="4">
      <x v="3"/>
    </i>
    <i r="4">
      <x v="5"/>
    </i>
    <i r="4">
      <x v="6"/>
    </i>
    <i r="4">
      <x v="7"/>
    </i>
    <i r="4">
      <x v="8"/>
    </i>
    <i r="4">
      <x v="9"/>
    </i>
    <i r="3">
      <x v="1"/>
    </i>
    <i r="4">
      <x/>
    </i>
    <i r="4">
      <x v="1"/>
    </i>
    <i r="4">
      <x v="2"/>
    </i>
    <i r="4">
      <x v="3"/>
    </i>
    <i r="4">
      <x v="5"/>
    </i>
    <i r="4">
      <x v="6"/>
    </i>
    <i r="4">
      <x v="7"/>
    </i>
    <i r="4">
      <x v="8"/>
    </i>
    <i r="4">
      <x v="9"/>
    </i>
    <i r="2">
      <x v="1"/>
    </i>
    <i r="3">
      <x/>
    </i>
    <i r="4">
      <x/>
    </i>
    <i r="4">
      <x v="1"/>
    </i>
    <i r="4">
      <x v="2"/>
    </i>
    <i r="4">
      <x v="3"/>
    </i>
    <i r="4">
      <x v="5"/>
    </i>
    <i r="4">
      <x v="6"/>
    </i>
    <i r="4">
      <x v="7"/>
    </i>
    <i r="4">
      <x v="8"/>
    </i>
    <i r="4">
      <x v="9"/>
    </i>
    <i r="3">
      <x v="1"/>
    </i>
    <i r="4">
      <x/>
    </i>
    <i r="4">
      <x v="1"/>
    </i>
    <i r="4">
      <x v="2"/>
    </i>
    <i r="4">
      <x v="3"/>
    </i>
    <i r="4">
      <x v="5"/>
    </i>
    <i r="4">
      <x v="6"/>
    </i>
    <i r="4">
      <x v="7"/>
    </i>
    <i r="4">
      <x v="8"/>
    </i>
    <i r="4">
      <x v="9"/>
    </i>
    <i r="1">
      <x v="2"/>
    </i>
    <i r="2">
      <x/>
    </i>
    <i r="3">
      <x/>
    </i>
    <i r="4">
      <x/>
    </i>
    <i r="4">
      <x v="1"/>
    </i>
    <i r="4">
      <x v="2"/>
    </i>
    <i r="4">
      <x v="3"/>
    </i>
    <i r="4">
      <x v="5"/>
    </i>
    <i r="4">
      <x v="6"/>
    </i>
    <i r="4">
      <x v="7"/>
    </i>
    <i r="4">
      <x v="8"/>
    </i>
    <i r="4">
      <x v="9"/>
    </i>
    <i r="3">
      <x v="1"/>
    </i>
    <i r="4">
      <x/>
    </i>
    <i r="4">
      <x v="1"/>
    </i>
    <i r="4">
      <x v="2"/>
    </i>
    <i r="4">
      <x v="3"/>
    </i>
    <i r="4">
      <x v="5"/>
    </i>
    <i r="4">
      <x v="6"/>
    </i>
    <i r="4">
      <x v="7"/>
    </i>
    <i r="4">
      <x v="8"/>
    </i>
    <i r="4">
      <x v="9"/>
    </i>
    <i r="2">
      <x v="1"/>
    </i>
    <i r="3">
      <x/>
    </i>
    <i r="4">
      <x/>
    </i>
    <i r="4">
      <x v="1"/>
    </i>
    <i r="4">
      <x v="2"/>
    </i>
    <i r="4">
      <x v="3"/>
    </i>
    <i r="4">
      <x v="5"/>
    </i>
    <i r="4">
      <x v="6"/>
    </i>
    <i r="4">
      <x v="7"/>
    </i>
    <i r="4">
      <x v="8"/>
    </i>
    <i r="4">
      <x v="9"/>
    </i>
    <i r="3">
      <x v="1"/>
    </i>
    <i r="4">
      <x/>
    </i>
    <i r="4">
      <x v="1"/>
    </i>
    <i r="4">
      <x v="2"/>
    </i>
    <i r="4">
      <x v="3"/>
    </i>
    <i r="4">
      <x v="5"/>
    </i>
    <i r="4">
      <x v="6"/>
    </i>
    <i r="4">
      <x v="7"/>
    </i>
    <i r="4">
      <x v="8"/>
    </i>
    <i r="4">
      <x v="9"/>
    </i>
    <i>
      <x v="2"/>
    </i>
    <i r="1">
      <x/>
    </i>
    <i r="2">
      <x/>
    </i>
    <i r="3">
      <x/>
    </i>
    <i r="4">
      <x/>
    </i>
    <i r="4">
      <x v="1"/>
    </i>
    <i r="4">
      <x v="2"/>
    </i>
    <i r="4">
      <x v="3"/>
    </i>
    <i r="4">
      <x v="5"/>
    </i>
    <i r="4">
      <x v="6"/>
    </i>
    <i r="4">
      <x v="7"/>
    </i>
    <i r="4">
      <x v="8"/>
    </i>
    <i r="4">
      <x v="9"/>
    </i>
    <i r="3">
      <x v="1"/>
    </i>
    <i r="4">
      <x/>
    </i>
    <i r="4">
      <x v="1"/>
    </i>
    <i r="4">
      <x v="2"/>
    </i>
    <i r="4">
      <x v="3"/>
    </i>
    <i r="4">
      <x v="5"/>
    </i>
    <i r="4">
      <x v="6"/>
    </i>
    <i r="4">
      <x v="7"/>
    </i>
    <i r="4">
      <x v="8"/>
    </i>
    <i r="4">
      <x v="9"/>
    </i>
    <i r="2">
      <x v="1"/>
    </i>
    <i r="3">
      <x/>
    </i>
    <i r="4">
      <x/>
    </i>
    <i r="4">
      <x v="1"/>
    </i>
    <i r="4">
      <x v="2"/>
    </i>
    <i r="4">
      <x v="3"/>
    </i>
    <i r="4">
      <x v="5"/>
    </i>
    <i r="4">
      <x v="6"/>
    </i>
    <i r="4">
      <x v="7"/>
    </i>
    <i r="4">
      <x v="8"/>
    </i>
    <i r="4">
      <x v="9"/>
    </i>
    <i r="3">
      <x v="1"/>
    </i>
    <i r="4">
      <x/>
    </i>
    <i r="4">
      <x v="1"/>
    </i>
    <i r="4">
      <x v="2"/>
    </i>
    <i r="4">
      <x v="3"/>
    </i>
    <i r="4">
      <x v="5"/>
    </i>
    <i r="4">
      <x v="6"/>
    </i>
    <i r="4">
      <x v="7"/>
    </i>
    <i r="4">
      <x v="8"/>
    </i>
    <i r="4">
      <x v="9"/>
    </i>
    <i r="1">
      <x v="2"/>
    </i>
    <i r="2">
      <x/>
    </i>
    <i r="3">
      <x/>
    </i>
    <i r="4">
      <x/>
    </i>
    <i r="4">
      <x v="1"/>
    </i>
    <i r="4">
      <x v="2"/>
    </i>
    <i r="4">
      <x v="3"/>
    </i>
    <i r="4">
      <x v="5"/>
    </i>
    <i r="4">
      <x v="6"/>
    </i>
    <i r="4">
      <x v="7"/>
    </i>
    <i r="4">
      <x v="8"/>
    </i>
    <i r="4">
      <x v="9"/>
    </i>
    <i r="3">
      <x v="1"/>
    </i>
    <i r="4">
      <x/>
    </i>
    <i r="4">
      <x v="1"/>
    </i>
    <i r="4">
      <x v="2"/>
    </i>
    <i r="4">
      <x v="3"/>
    </i>
    <i r="4">
      <x v="5"/>
    </i>
    <i r="4">
      <x v="6"/>
    </i>
    <i r="4">
      <x v="7"/>
    </i>
    <i r="4">
      <x v="8"/>
    </i>
    <i r="4">
      <x v="9"/>
    </i>
    <i r="2">
      <x v="1"/>
    </i>
    <i r="3">
      <x/>
    </i>
    <i r="4">
      <x/>
    </i>
    <i r="4">
      <x v="1"/>
    </i>
    <i r="4">
      <x v="2"/>
    </i>
    <i r="4">
      <x v="3"/>
    </i>
    <i r="4">
      <x v="5"/>
    </i>
    <i r="4">
      <x v="6"/>
    </i>
    <i r="4">
      <x v="7"/>
    </i>
    <i r="4">
      <x v="8"/>
    </i>
    <i r="4">
      <x v="9"/>
    </i>
    <i r="3">
      <x v="1"/>
    </i>
    <i r="4">
      <x/>
    </i>
    <i r="4">
      <x v="1"/>
    </i>
    <i r="4">
      <x v="2"/>
    </i>
    <i r="4">
      <x v="3"/>
    </i>
    <i r="4">
      <x v="5"/>
    </i>
    <i r="4">
      <x v="6"/>
    </i>
    <i r="4">
      <x v="7"/>
    </i>
    <i r="4">
      <x v="8"/>
    </i>
    <i r="4">
      <x v="9"/>
    </i>
    <i>
      <x v="3"/>
    </i>
    <i r="1">
      <x/>
    </i>
    <i r="2">
      <x/>
    </i>
    <i r="3">
      <x/>
    </i>
    <i r="4">
      <x/>
    </i>
    <i r="4">
      <x v="1"/>
    </i>
    <i r="4">
      <x v="2"/>
    </i>
    <i r="4">
      <x v="3"/>
    </i>
    <i r="4">
      <x v="5"/>
    </i>
    <i r="4">
      <x v="6"/>
    </i>
    <i r="4">
      <x v="7"/>
    </i>
    <i r="4">
      <x v="8"/>
    </i>
    <i r="4">
      <x v="9"/>
    </i>
    <i r="3">
      <x v="1"/>
    </i>
    <i r="4">
      <x/>
    </i>
    <i r="4">
      <x v="1"/>
    </i>
    <i r="4">
      <x v="2"/>
    </i>
    <i r="4">
      <x v="3"/>
    </i>
    <i r="4">
      <x v="5"/>
    </i>
    <i r="4">
      <x v="6"/>
    </i>
    <i r="4">
      <x v="7"/>
    </i>
    <i r="4">
      <x v="8"/>
    </i>
    <i r="4">
      <x v="9"/>
    </i>
    <i r="2">
      <x v="1"/>
    </i>
    <i r="3">
      <x/>
    </i>
    <i r="4">
      <x/>
    </i>
    <i r="4">
      <x v="1"/>
    </i>
    <i r="4">
      <x v="2"/>
    </i>
    <i r="4">
      <x v="3"/>
    </i>
    <i r="4">
      <x v="5"/>
    </i>
    <i r="4">
      <x v="6"/>
    </i>
    <i r="4">
      <x v="7"/>
    </i>
    <i r="4">
      <x v="8"/>
    </i>
    <i r="4">
      <x v="9"/>
    </i>
    <i r="3">
      <x v="1"/>
    </i>
    <i r="4">
      <x/>
    </i>
    <i r="4">
      <x v="1"/>
    </i>
    <i r="4">
      <x v="2"/>
    </i>
    <i r="4">
      <x v="3"/>
    </i>
    <i r="4">
      <x v="5"/>
    </i>
    <i r="4">
      <x v="6"/>
    </i>
    <i r="4">
      <x v="7"/>
    </i>
    <i r="4">
      <x v="8"/>
    </i>
    <i r="4">
      <x v="9"/>
    </i>
    <i r="1">
      <x v="2"/>
    </i>
    <i r="2">
      <x/>
    </i>
    <i r="3">
      <x/>
    </i>
    <i r="4">
      <x/>
    </i>
    <i r="4">
      <x v="1"/>
    </i>
    <i r="4">
      <x v="2"/>
    </i>
    <i r="4">
      <x v="3"/>
    </i>
    <i r="4">
      <x v="5"/>
    </i>
    <i r="4">
      <x v="6"/>
    </i>
    <i r="4">
      <x v="7"/>
    </i>
    <i r="4">
      <x v="8"/>
    </i>
    <i r="4">
      <x v="9"/>
    </i>
    <i r="3">
      <x v="1"/>
    </i>
    <i r="4">
      <x/>
    </i>
    <i r="4">
      <x v="1"/>
    </i>
    <i r="4">
      <x v="2"/>
    </i>
    <i r="4">
      <x v="3"/>
    </i>
    <i r="4">
      <x v="5"/>
    </i>
    <i r="4">
      <x v="6"/>
    </i>
    <i r="4">
      <x v="7"/>
    </i>
    <i r="4">
      <x v="8"/>
    </i>
    <i r="4">
      <x v="9"/>
    </i>
    <i r="2">
      <x v="1"/>
    </i>
    <i r="3">
      <x/>
    </i>
    <i r="4">
      <x/>
    </i>
    <i r="4">
      <x v="1"/>
    </i>
    <i r="4">
      <x v="2"/>
    </i>
    <i r="4">
      <x v="3"/>
    </i>
    <i r="4">
      <x v="5"/>
    </i>
    <i r="4">
      <x v="6"/>
    </i>
    <i r="4">
      <x v="7"/>
    </i>
    <i r="4">
      <x v="8"/>
    </i>
    <i r="4">
      <x v="9"/>
    </i>
    <i r="3">
      <x v="1"/>
    </i>
    <i r="4">
      <x/>
    </i>
    <i r="4">
      <x v="1"/>
    </i>
    <i r="4">
      <x v="2"/>
    </i>
    <i r="4">
      <x v="3"/>
    </i>
    <i r="4">
      <x v="5"/>
    </i>
    <i r="4">
      <x v="6"/>
    </i>
    <i r="4">
      <x v="7"/>
    </i>
    <i r="4">
      <x v="8"/>
    </i>
    <i r="4">
      <x v="9"/>
    </i>
    <i>
      <x v="4"/>
    </i>
    <i r="1">
      <x/>
    </i>
    <i r="2">
      <x/>
    </i>
    <i r="3">
      <x/>
    </i>
    <i r="4">
      <x/>
    </i>
    <i r="4">
      <x v="1"/>
    </i>
    <i r="4">
      <x v="2"/>
    </i>
    <i r="4">
      <x v="3"/>
    </i>
    <i r="4">
      <x v="5"/>
    </i>
    <i r="4">
      <x v="6"/>
    </i>
    <i r="4">
      <x v="7"/>
    </i>
    <i r="4">
      <x v="8"/>
    </i>
    <i r="4">
      <x v="9"/>
    </i>
    <i r="3">
      <x v="1"/>
    </i>
    <i r="4">
      <x/>
    </i>
    <i r="4">
      <x v="1"/>
    </i>
    <i r="4">
      <x v="2"/>
    </i>
    <i r="4">
      <x v="3"/>
    </i>
    <i r="4">
      <x v="5"/>
    </i>
    <i r="4">
      <x v="6"/>
    </i>
    <i r="4">
      <x v="7"/>
    </i>
    <i r="4">
      <x v="8"/>
    </i>
    <i r="4">
      <x v="9"/>
    </i>
    <i r="2">
      <x v="1"/>
    </i>
    <i r="3">
      <x/>
    </i>
    <i r="4">
      <x/>
    </i>
    <i r="4">
      <x v="1"/>
    </i>
    <i r="4">
      <x v="2"/>
    </i>
    <i r="4">
      <x v="3"/>
    </i>
    <i r="4">
      <x v="5"/>
    </i>
    <i r="4">
      <x v="6"/>
    </i>
    <i r="4">
      <x v="7"/>
    </i>
    <i r="4">
      <x v="8"/>
    </i>
    <i r="4">
      <x v="9"/>
    </i>
    <i r="3">
      <x v="1"/>
    </i>
    <i r="4">
      <x/>
    </i>
    <i r="4">
      <x v="1"/>
    </i>
    <i r="4">
      <x v="2"/>
    </i>
    <i r="4">
      <x v="3"/>
    </i>
    <i r="4">
      <x v="5"/>
    </i>
    <i r="4">
      <x v="6"/>
    </i>
    <i r="4">
      <x v="7"/>
    </i>
    <i r="4">
      <x v="8"/>
    </i>
    <i r="4">
      <x v="9"/>
    </i>
    <i r="1">
      <x v="2"/>
    </i>
    <i r="2">
      <x/>
    </i>
    <i r="3">
      <x/>
    </i>
    <i r="4">
      <x/>
    </i>
    <i r="4">
      <x v="1"/>
    </i>
    <i r="4">
      <x v="2"/>
    </i>
    <i r="4">
      <x v="3"/>
    </i>
    <i r="4">
      <x v="5"/>
    </i>
    <i r="4">
      <x v="6"/>
    </i>
    <i r="4">
      <x v="7"/>
    </i>
    <i r="4">
      <x v="8"/>
    </i>
    <i r="4">
      <x v="9"/>
    </i>
    <i r="3">
      <x v="1"/>
    </i>
    <i r="4">
      <x/>
    </i>
    <i r="4">
      <x v="1"/>
    </i>
    <i r="4">
      <x v="2"/>
    </i>
    <i r="4">
      <x v="3"/>
    </i>
    <i r="4">
      <x v="5"/>
    </i>
    <i r="4">
      <x v="6"/>
    </i>
    <i r="4">
      <x v="7"/>
    </i>
    <i r="4">
      <x v="8"/>
    </i>
    <i r="4">
      <x v="9"/>
    </i>
    <i r="2">
      <x v="1"/>
    </i>
    <i r="3">
      <x/>
    </i>
    <i r="4">
      <x/>
    </i>
    <i r="4">
      <x v="1"/>
    </i>
    <i r="4">
      <x v="2"/>
    </i>
    <i r="4">
      <x v="3"/>
    </i>
    <i r="4">
      <x v="5"/>
    </i>
    <i r="4">
      <x v="6"/>
    </i>
    <i r="4">
      <x v="7"/>
    </i>
    <i r="4">
      <x v="8"/>
    </i>
    <i r="4">
      <x v="9"/>
    </i>
    <i r="3">
      <x v="1"/>
    </i>
    <i r="4">
      <x/>
    </i>
    <i r="4">
      <x v="1"/>
    </i>
    <i r="4">
      <x v="2"/>
    </i>
    <i r="4">
      <x v="3"/>
    </i>
    <i r="4">
      <x v="5"/>
    </i>
    <i r="4">
      <x v="6"/>
    </i>
    <i r="4">
      <x v="7"/>
    </i>
    <i r="4">
      <x v="8"/>
    </i>
    <i r="4">
      <x v="9"/>
    </i>
    <i>
      <x v="5"/>
    </i>
    <i r="1">
      <x/>
    </i>
    <i r="2">
      <x/>
    </i>
    <i r="3">
      <x/>
    </i>
    <i r="4">
      <x/>
    </i>
    <i r="4">
      <x v="1"/>
    </i>
    <i r="4">
      <x v="2"/>
    </i>
    <i r="4">
      <x v="3"/>
    </i>
    <i r="4">
      <x v="5"/>
    </i>
    <i r="4">
      <x v="6"/>
    </i>
    <i r="4">
      <x v="7"/>
    </i>
    <i r="4">
      <x v="8"/>
    </i>
    <i r="4">
      <x v="9"/>
    </i>
    <i r="3">
      <x v="1"/>
    </i>
    <i r="4">
      <x/>
    </i>
    <i r="4">
      <x v="1"/>
    </i>
    <i r="4">
      <x v="2"/>
    </i>
    <i r="4">
      <x v="3"/>
    </i>
    <i r="4">
      <x v="5"/>
    </i>
    <i r="4">
      <x v="6"/>
    </i>
    <i r="4">
      <x v="7"/>
    </i>
    <i r="4">
      <x v="8"/>
    </i>
    <i r="4">
      <x v="9"/>
    </i>
    <i r="2">
      <x v="1"/>
    </i>
    <i r="3">
      <x/>
    </i>
    <i r="4">
      <x/>
    </i>
    <i r="4">
      <x v="1"/>
    </i>
    <i r="4">
      <x v="2"/>
    </i>
    <i r="4">
      <x v="3"/>
    </i>
    <i r="4">
      <x v="5"/>
    </i>
    <i r="4">
      <x v="6"/>
    </i>
    <i r="4">
      <x v="7"/>
    </i>
    <i r="4">
      <x v="8"/>
    </i>
    <i r="4">
      <x v="9"/>
    </i>
    <i r="3">
      <x v="1"/>
    </i>
    <i r="4">
      <x/>
    </i>
    <i r="4">
      <x v="1"/>
    </i>
    <i r="4">
      <x v="2"/>
    </i>
    <i r="4">
      <x v="3"/>
    </i>
    <i r="4">
      <x v="5"/>
    </i>
    <i r="4">
      <x v="6"/>
    </i>
    <i r="4">
      <x v="7"/>
    </i>
    <i r="4">
      <x v="8"/>
    </i>
    <i r="4">
      <x v="9"/>
    </i>
    <i r="1">
      <x v="2"/>
    </i>
    <i r="2">
      <x/>
    </i>
    <i r="3">
      <x/>
    </i>
    <i r="4">
      <x/>
    </i>
    <i r="4">
      <x v="1"/>
    </i>
    <i r="4">
      <x v="2"/>
    </i>
    <i r="4">
      <x v="3"/>
    </i>
    <i r="4">
      <x v="5"/>
    </i>
    <i r="4">
      <x v="6"/>
    </i>
    <i r="4">
      <x v="7"/>
    </i>
    <i r="4">
      <x v="8"/>
    </i>
    <i r="4">
      <x v="9"/>
    </i>
    <i r="3">
      <x v="1"/>
    </i>
    <i r="4">
      <x/>
    </i>
    <i r="4">
      <x v="1"/>
    </i>
    <i r="4">
      <x v="2"/>
    </i>
    <i r="4">
      <x v="3"/>
    </i>
    <i r="4">
      <x v="5"/>
    </i>
    <i r="4">
      <x v="6"/>
    </i>
    <i r="4">
      <x v="7"/>
    </i>
    <i r="4">
      <x v="8"/>
    </i>
    <i r="4">
      <x v="9"/>
    </i>
    <i r="2">
      <x v="1"/>
    </i>
    <i r="3">
      <x/>
    </i>
    <i r="4">
      <x/>
    </i>
    <i r="4">
      <x v="1"/>
    </i>
    <i r="4">
      <x v="2"/>
    </i>
    <i r="4">
      <x v="3"/>
    </i>
    <i r="4">
      <x v="5"/>
    </i>
    <i r="4">
      <x v="6"/>
    </i>
    <i r="4">
      <x v="7"/>
    </i>
    <i r="4">
      <x v="8"/>
    </i>
    <i r="4">
      <x v="9"/>
    </i>
    <i r="3">
      <x v="1"/>
    </i>
    <i r="4">
      <x/>
    </i>
    <i r="4">
      <x v="1"/>
    </i>
    <i r="4">
      <x v="2"/>
    </i>
    <i r="4">
      <x v="3"/>
    </i>
    <i r="4">
      <x v="5"/>
    </i>
    <i r="4">
      <x v="6"/>
    </i>
    <i r="4">
      <x v="7"/>
    </i>
    <i r="4">
      <x v="8"/>
    </i>
    <i r="4">
      <x v="9"/>
    </i>
    <i t="grand">
      <x/>
    </i>
  </rowItems>
  <colFields count="1">
    <field x="9"/>
  </colFields>
  <colItems count="3">
    <i>
      <x/>
    </i>
    <i>
      <x v="1"/>
    </i>
    <i t="grand">
      <x/>
    </i>
  </colItems>
  <dataFields count="1">
    <dataField name="Count of no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10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:B15" firstHeaderRow="1" firstDataRow="1" firstDataCol="1" rowPageCount="2" colPageCount="1"/>
  <pivotFields count="30">
    <pivotField dataField="1" showAll="0"/>
    <pivotField showAll="0"/>
    <pivotField showAll="0"/>
    <pivotField axis="axisPage" multipleItemSelectionAllowed="1" showAll="0">
      <items count="4">
        <item x="2"/>
        <item x="1"/>
        <item h="1" x="0"/>
        <item t="default"/>
      </items>
    </pivotField>
    <pivotField showAll="0"/>
    <pivotField showAll="0"/>
    <pivotField showAll="0"/>
    <pivotField axis="axisPage" multipleItemSelectionAllowed="1" showAll="0">
      <items count="5">
        <item x="1"/>
        <item h="1" x="0"/>
        <item h="1" x="2"/>
        <item h="1" m="1" x="3"/>
        <item t="default"/>
      </items>
    </pivotField>
    <pivotField showAll="0"/>
    <pivotField axis="axisRow" showAll="0">
      <items count="4">
        <item x="2"/>
        <item x="1"/>
        <item h="1" x="0"/>
        <item t="default"/>
      </items>
    </pivotField>
    <pivotField axis="axisRow" showAll="0">
      <items count="6">
        <item x="2"/>
        <item x="1"/>
        <item h="1" x="0"/>
        <item x="4"/>
        <item x="3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9"/>
    <field x="10"/>
  </rowFields>
  <rowItems count="11">
    <i>
      <x/>
    </i>
    <i r="1">
      <x/>
    </i>
    <i r="1">
      <x v="1"/>
    </i>
    <i r="1">
      <x v="3"/>
    </i>
    <i r="1">
      <x v="4"/>
    </i>
    <i>
      <x v="1"/>
    </i>
    <i r="1">
      <x/>
    </i>
    <i r="1">
      <x v="1"/>
    </i>
    <i r="1">
      <x v="3"/>
    </i>
    <i r="1">
      <x v="4"/>
    </i>
    <i t="grand">
      <x/>
    </i>
  </rowItems>
  <colItems count="1">
    <i/>
  </colItems>
  <pageFields count="2">
    <pageField fld="7" hier="-1"/>
    <pageField fld="3" hier="-1"/>
  </pageFields>
  <dataFields count="1">
    <dataField name="Count of no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2000000}" name="PivotTable2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if 3H/T" colHeaderCaption="then 4th?">
  <location ref="A1:F11" firstHeaderRow="1" firstDataRow="2" firstDataCol="1"/>
  <pivotFields count="30">
    <pivotField dataField="1" showAll="0"/>
    <pivotField showAll="0"/>
    <pivotField showAll="0"/>
    <pivotField showAll="0"/>
    <pivotField axis="axisRow" showAll="0" defaultSubtotal="0">
      <items count="3">
        <item x="2"/>
        <item x="1"/>
        <item x="0"/>
      </items>
    </pivotField>
    <pivotField showAll="0" defaultSubtotal="0"/>
    <pivotField showAll="0"/>
    <pivotField showAll="0"/>
    <pivotField showAll="0"/>
    <pivotField axis="axisRow" showAll="0" countASubtotal="1">
      <items count="4">
        <item x="2"/>
        <item x="1"/>
        <item h="1" x="0"/>
        <item t="countA"/>
      </items>
    </pivotField>
    <pivotField axis="axisCol" showAll="0" countASubtotal="1">
      <items count="6">
        <item x="2"/>
        <item x="1"/>
        <item h="1" x="0"/>
        <item x="4"/>
        <item x="3"/>
        <item t="countA"/>
      </items>
    </pivotField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4"/>
    <field x="9"/>
  </rowFields>
  <rowItems count="9">
    <i>
      <x/>
    </i>
    <i r="1">
      <x/>
    </i>
    <i r="1">
      <x v="1"/>
    </i>
    <i>
      <x v="1"/>
    </i>
    <i r="1">
      <x/>
    </i>
    <i r="1">
      <x v="1"/>
    </i>
    <i t="countA">
      <x v="1048832"/>
      <x/>
    </i>
    <i t="countA" r="1">
      <x v="1"/>
    </i>
    <i t="grand">
      <x/>
    </i>
  </rowItems>
  <colFields count="1">
    <field x="10"/>
  </colFields>
  <colItems count="5">
    <i>
      <x/>
    </i>
    <i>
      <x v="1"/>
    </i>
    <i>
      <x v="3"/>
    </i>
    <i>
      <x v="4"/>
    </i>
    <i t="grand">
      <x/>
    </i>
  </colItems>
  <dataFields count="1">
    <dataField name="Count of no" fld="0" subtotal="count" baseField="0" baseItem="0"/>
  </dataFields>
  <formats count="1">
    <format dxfId="41">
      <pivotArea dataOnly="0" labelOnly="1" fieldPosition="0">
        <references count="1">
          <reference field="10" count="3">
            <x v="1"/>
            <x v="3"/>
            <x v="4"/>
          </reference>
        </references>
      </pivotArea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8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:B10" firstHeaderRow="1" firstDataRow="1" firstDataCol="1" rowPageCount="2" colPageCount="1"/>
  <pivotFields count="30">
    <pivotField dataField="1" showAll="0"/>
    <pivotField showAll="0"/>
    <pivotField showAll="0"/>
    <pivotField showAll="0"/>
    <pivotField showAll="0"/>
    <pivotField showAll="0"/>
    <pivotField axis="axisPage" multipleItemSelectionAllowed="1" showAll="0">
      <items count="9">
        <item h="1" x="0"/>
        <item x="5"/>
        <item x="2"/>
        <item x="7"/>
        <item x="6"/>
        <item x="4"/>
        <item x="3"/>
        <item h="1" x="1"/>
        <item t="default"/>
      </items>
    </pivotField>
    <pivotField axis="axisPage" multipleItemSelectionAllowed="1" showAll="0">
      <items count="5">
        <item h="1" x="1"/>
        <item h="1" x="0"/>
        <item x="2"/>
        <item h="1" m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4">
        <item h="1" x="7"/>
        <item x="1"/>
        <item x="2"/>
        <item h="1" x="0"/>
        <item x="6"/>
        <item x="3"/>
        <item x="10"/>
        <item x="5"/>
        <item x="4"/>
        <item x="8"/>
        <item x="9"/>
        <item h="1" m="1" x="12"/>
        <item h="1" m="1" x="11"/>
        <item t="default"/>
      </items>
    </pivotField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8"/>
  </rowFields>
  <rowItems count="6">
    <i>
      <x v="2"/>
    </i>
    <i>
      <x v="4"/>
    </i>
    <i>
      <x v="5"/>
    </i>
    <i>
      <x v="7"/>
    </i>
    <i>
      <x v="8"/>
    </i>
    <i t="grand">
      <x/>
    </i>
  </rowItems>
  <colItems count="1">
    <i/>
  </colItems>
  <pageFields count="2">
    <pageField fld="6" hier="-1"/>
    <pageField fld="7" hier="-1"/>
  </pageFields>
  <dataFields count="1">
    <dataField name="Count of no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1000000}" name="PivotTable9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26:B28" firstHeaderRow="1" firstDataRow="1" firstDataCol="1" rowPageCount="2" colPageCount="1"/>
  <pivotFields count="30">
    <pivotField dataField="1" showAll="0"/>
    <pivotField showAll="0"/>
    <pivotField showAll="0"/>
    <pivotField showAll="0"/>
    <pivotField showAll="0"/>
    <pivotField showAll="0"/>
    <pivotField axis="axisPage" multipleItemSelectionAllowed="1" showAll="0">
      <items count="9">
        <item h="1" x="0"/>
        <item x="5"/>
        <item x="2"/>
        <item x="7"/>
        <item x="6"/>
        <item x="4"/>
        <item x="3"/>
        <item h="1" x="1"/>
        <item t="default"/>
      </items>
    </pivotField>
    <pivotField axis="axisPage" multipleItemSelectionAllowed="1" showAll="0">
      <items count="5">
        <item h="1" x="1"/>
        <item h="1" x="0"/>
        <item x="2"/>
        <item h="1" m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1">
        <item x="7"/>
        <item x="2"/>
        <item h="1" x="0"/>
        <item x="6"/>
        <item x="8"/>
        <item x="1"/>
        <item x="5"/>
        <item x="9"/>
        <item x="4"/>
        <item h="1" x="3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9"/>
  </rowFields>
  <rowItems count="2">
    <i>
      <x v="5"/>
    </i>
    <i t="grand">
      <x/>
    </i>
  </rowItems>
  <colItems count="1">
    <i/>
  </colItems>
  <pageFields count="2">
    <pageField fld="6" hier="-1"/>
    <pageField fld="7" hier="-1"/>
  </pageFields>
  <dataFields count="1">
    <dataField name="Count of no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PivotTable17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olHeaderCaption="Column">
  <location ref="A5:H50" firstHeaderRow="1" firstDataRow="3" firstDataCol="1" rowPageCount="1" colPageCount="1"/>
  <pivotFields count="30">
    <pivotField dataField="1" showAll="0"/>
    <pivotField axis="axisRow" showAll="0">
      <items count="8">
        <item x="2"/>
        <item x="5"/>
        <item x="1"/>
        <item x="3"/>
        <item x="4"/>
        <item x="6"/>
        <item h="1" x="0"/>
        <item t="default"/>
      </items>
    </pivotField>
    <pivotField axis="axisRow" showAll="0">
      <items count="4">
        <item x="2"/>
        <item x="0"/>
        <item x="1"/>
        <item t="default"/>
      </items>
    </pivotField>
    <pivotField axis="axisRow" showAll="0">
      <items count="4">
        <item x="2"/>
        <item x="1"/>
        <item x="0"/>
        <item t="default"/>
      </items>
    </pivotField>
    <pivotField showAll="0" defaultSubtotal="0"/>
    <pivotField showAll="0" defaultSubtotal="0"/>
    <pivotField showAll="0"/>
    <pivotField showAll="0"/>
    <pivotField showAll="0"/>
    <pivotField axis="axisCol" showAll="0">
      <items count="4">
        <item x="2"/>
        <item x="1"/>
        <item h="1" x="0"/>
        <item t="default"/>
      </items>
    </pivotField>
    <pivotField showAll="0"/>
    <pivotField showAll="0"/>
    <pivotField axis="axisCol">
      <items count="4">
        <item x="1"/>
        <item x="2"/>
        <item h="1" x="0"/>
        <item t="default"/>
      </items>
    </pivotField>
    <pivotField showAll="0"/>
    <pivotField axis="axisPage" multipleItemSelectionAllowed="1" showAll="0">
      <items count="5">
        <item x="1"/>
        <item h="1" m="1" x="3"/>
        <item h="1" x="0"/>
        <item h="1" x="2"/>
        <item t="default"/>
      </items>
    </pivotField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3">
    <field x="1"/>
    <field x="2"/>
    <field x="3"/>
  </rowFields>
  <rowItems count="43">
    <i>
      <x/>
    </i>
    <i r="1">
      <x/>
    </i>
    <i r="2">
      <x/>
    </i>
    <i r="2">
      <x v="1"/>
    </i>
    <i r="1">
      <x v="2"/>
    </i>
    <i r="2">
      <x/>
    </i>
    <i r="2">
      <x v="1"/>
    </i>
    <i>
      <x v="1"/>
    </i>
    <i r="1">
      <x/>
    </i>
    <i r="2">
      <x/>
    </i>
    <i r="2">
      <x v="1"/>
    </i>
    <i r="1">
      <x v="2"/>
    </i>
    <i r="2">
      <x/>
    </i>
    <i r="2">
      <x v="1"/>
    </i>
    <i>
      <x v="2"/>
    </i>
    <i r="1">
      <x/>
    </i>
    <i r="2">
      <x/>
    </i>
    <i r="2">
      <x v="1"/>
    </i>
    <i r="1">
      <x v="2"/>
    </i>
    <i r="2">
      <x/>
    </i>
    <i r="2">
      <x v="1"/>
    </i>
    <i>
      <x v="3"/>
    </i>
    <i r="1">
      <x/>
    </i>
    <i r="2">
      <x/>
    </i>
    <i r="2">
      <x v="1"/>
    </i>
    <i r="1">
      <x v="2"/>
    </i>
    <i r="2">
      <x/>
    </i>
    <i r="2">
      <x v="1"/>
    </i>
    <i>
      <x v="4"/>
    </i>
    <i r="1">
      <x/>
    </i>
    <i r="2">
      <x/>
    </i>
    <i r="2">
      <x v="1"/>
    </i>
    <i r="1">
      <x v="2"/>
    </i>
    <i r="2">
      <x/>
    </i>
    <i r="2">
      <x v="1"/>
    </i>
    <i>
      <x v="5"/>
    </i>
    <i r="1">
      <x/>
    </i>
    <i r="2">
      <x/>
    </i>
    <i r="2">
      <x v="1"/>
    </i>
    <i r="1">
      <x v="2"/>
    </i>
    <i r="2">
      <x/>
    </i>
    <i r="2">
      <x v="1"/>
    </i>
    <i t="grand">
      <x/>
    </i>
  </rowItems>
  <colFields count="2">
    <field x="12"/>
    <field x="9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pageFields count="1">
    <pageField fld="14" hier="-1"/>
  </pageFields>
  <dataFields count="1">
    <dataField name="Count of no" fld="0" subtotal="count" baseField="0" baseItem="0"/>
  </dataFields>
  <formats count="21">
    <format dxfId="19">
      <pivotArea outline="0" collapsedLevelsAreSubtotals="1" fieldPosition="0">
        <references count="1">
          <reference field="12" count="1" selected="0" defaultSubtotal="1">
            <x v="1"/>
          </reference>
        </references>
      </pivotArea>
    </format>
    <format dxfId="20">
      <pivotArea outline="0" collapsedLevelsAreSubtotals="1" fieldPosition="0">
        <references count="2">
          <reference field="9" count="1" selected="0">
            <x v="0"/>
          </reference>
          <reference field="12" count="1" selected="0">
            <x v="1"/>
          </reference>
        </references>
      </pivotArea>
    </format>
    <format dxfId="21">
      <pivotArea outline="0" collapsedLevelsAreSubtotals="1" fieldPosition="0">
        <references count="2">
          <reference field="9" count="1" selected="0">
            <x v="1"/>
          </reference>
          <reference field="12" count="1" selected="0">
            <x v="1"/>
          </reference>
        </references>
      </pivotArea>
    </format>
    <format dxfId="22">
      <pivotArea dataOnly="0" labelOnly="1" fieldPosition="0">
        <references count="1">
          <reference field="12" count="1">
            <x v="1"/>
          </reference>
        </references>
      </pivotArea>
    </format>
    <format dxfId="23">
      <pivotArea dataOnly="0" labelOnly="1" fieldPosition="0">
        <references count="1">
          <reference field="12" count="1" defaultSubtotal="1">
            <x v="1"/>
          </reference>
        </references>
      </pivotArea>
    </format>
    <format dxfId="24">
      <pivotArea dataOnly="0" labelOnly="1" fieldPosition="0">
        <references count="2">
          <reference field="9" count="0"/>
          <reference field="12" count="1" selected="0">
            <x v="1"/>
          </reference>
        </references>
      </pivotArea>
    </format>
    <format dxfId="25">
      <pivotArea outline="0" collapsedLevelsAreSubtotals="1" fieldPosition="0">
        <references count="1">
          <reference field="12" count="1" selected="0" defaultSubtotal="1">
            <x v="0"/>
          </reference>
        </references>
      </pivotArea>
    </format>
    <format dxfId="26">
      <pivotArea field="12" type="button" dataOnly="0" labelOnly="1" outline="0" axis="axisCol" fieldPosition="0"/>
    </format>
    <format dxfId="27">
      <pivotArea field="9" type="button" dataOnly="0" labelOnly="1" outline="0" axis="axisCol" fieldPosition="1"/>
    </format>
    <format dxfId="28">
      <pivotArea type="topRight" dataOnly="0" labelOnly="1" outline="0" fieldPosition="0"/>
    </format>
    <format dxfId="29">
      <pivotArea dataOnly="0" labelOnly="1" fieldPosition="0">
        <references count="1">
          <reference field="12" count="1">
            <x v="0"/>
          </reference>
        </references>
      </pivotArea>
    </format>
    <format dxfId="30">
      <pivotArea dataOnly="0" labelOnly="1" fieldPosition="0">
        <references count="1">
          <reference field="12" count="1" defaultSubtotal="1">
            <x v="0"/>
          </reference>
        </references>
      </pivotArea>
    </format>
    <format dxfId="31">
      <pivotArea dataOnly="0" labelOnly="1" fieldPosition="0">
        <references count="2">
          <reference field="9" count="0"/>
          <reference field="12" count="1" selected="0">
            <x v="0"/>
          </reference>
        </references>
      </pivotArea>
    </format>
    <format dxfId="32">
      <pivotArea outline="0" collapsedLevelsAreSubtotals="1" fieldPosition="0">
        <references count="1">
          <reference field="12" count="1" selected="0" defaultSubtotal="1">
            <x v="1"/>
          </reference>
        </references>
      </pivotArea>
    </format>
    <format dxfId="33">
      <pivotArea type="topRight" dataOnly="0" labelOnly="1" outline="0" offset="B1:D1" fieldPosition="0"/>
    </format>
    <format dxfId="34">
      <pivotArea dataOnly="0" labelOnly="1" fieldPosition="0">
        <references count="1">
          <reference field="12" count="1">
            <x v="1"/>
          </reference>
        </references>
      </pivotArea>
    </format>
    <format dxfId="35">
      <pivotArea dataOnly="0" labelOnly="1" fieldPosition="0">
        <references count="1">
          <reference field="12" count="1" defaultSubtotal="1">
            <x v="1"/>
          </reference>
        </references>
      </pivotArea>
    </format>
    <format dxfId="36">
      <pivotArea dataOnly="0" labelOnly="1" fieldPosition="0">
        <references count="2">
          <reference field="9" count="0"/>
          <reference field="12" count="1" selected="0">
            <x v="1"/>
          </reference>
        </references>
      </pivotArea>
    </format>
    <format dxfId="37">
      <pivotArea dataOnly="0" labelOnly="1" fieldPosition="0">
        <references count="2">
          <reference field="9" count="1">
            <x v="0"/>
          </reference>
          <reference field="12" count="1" selected="0">
            <x v="0"/>
          </reference>
        </references>
      </pivotArea>
    </format>
    <format dxfId="38">
      <pivotArea dataOnly="0" outline="0" fieldPosition="0">
        <references count="1">
          <reference field="9" count="1">
            <x v="1"/>
          </reference>
        </references>
      </pivotArea>
    </format>
    <format dxfId="39">
      <pivotArea dataOnly="0" outline="0" fieldPosition="0">
        <references count="1">
          <reference field="12" count="1">
            <x v="0"/>
          </reference>
        </references>
      </pivotArea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0000000}" name="PivotTable10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olHeaderCaption="Column">
  <location ref="A3:H48" firstHeaderRow="1" firstDataRow="3" firstDataCol="1" rowPageCount="1" colPageCount="1"/>
  <pivotFields count="30">
    <pivotField dataField="1" showAll="0"/>
    <pivotField axis="axisRow" showAll="0">
      <items count="8">
        <item x="2"/>
        <item x="5"/>
        <item x="1"/>
        <item x="3"/>
        <item x="4"/>
        <item x="6"/>
        <item h="1" x="0"/>
        <item t="default"/>
      </items>
    </pivotField>
    <pivotField axis="axisRow" showAll="0">
      <items count="4">
        <item x="2"/>
        <item x="0"/>
        <item x="1"/>
        <item t="default"/>
      </items>
    </pivotField>
    <pivotField axis="axisRow" showAll="0">
      <items count="4">
        <item x="2"/>
        <item x="1"/>
        <item x="0"/>
        <item t="default"/>
      </items>
    </pivotField>
    <pivotField showAll="0" defaultSubtotal="0"/>
    <pivotField showAll="0" defaultSubtotal="0"/>
    <pivotField showAll="0"/>
    <pivotField showAll="0"/>
    <pivotField showAll="0"/>
    <pivotField axis="axisCol" showAll="0">
      <items count="4">
        <item x="2"/>
        <item x="1"/>
        <item h="1" x="0"/>
        <item t="default"/>
      </items>
    </pivotField>
    <pivotField showAll="0"/>
    <pivotField showAll="0"/>
    <pivotField axis="axisCol">
      <items count="4">
        <item x="1"/>
        <item x="2"/>
        <item h="1" x="0"/>
        <item t="default"/>
      </items>
    </pivotField>
    <pivotField showAll="0"/>
    <pivotField axis="axisPage" multipleItemSelectionAllowed="1" showAll="0">
      <items count="5">
        <item x="1"/>
        <item h="1" m="1" x="3"/>
        <item h="1" x="0"/>
        <item x="2"/>
        <item t="default"/>
      </items>
    </pivotField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3">
    <field x="1"/>
    <field x="2"/>
    <field x="3"/>
  </rowFields>
  <rowItems count="43">
    <i>
      <x/>
    </i>
    <i r="1">
      <x/>
    </i>
    <i r="2">
      <x/>
    </i>
    <i r="2">
      <x v="1"/>
    </i>
    <i r="1">
      <x v="2"/>
    </i>
    <i r="2">
      <x/>
    </i>
    <i r="2">
      <x v="1"/>
    </i>
    <i>
      <x v="1"/>
    </i>
    <i r="1">
      <x/>
    </i>
    <i r="2">
      <x/>
    </i>
    <i r="2">
      <x v="1"/>
    </i>
    <i r="1">
      <x v="2"/>
    </i>
    <i r="2">
      <x/>
    </i>
    <i r="2">
      <x v="1"/>
    </i>
    <i>
      <x v="2"/>
    </i>
    <i r="1">
      <x/>
    </i>
    <i r="2">
      <x/>
    </i>
    <i r="2">
      <x v="1"/>
    </i>
    <i r="1">
      <x v="2"/>
    </i>
    <i r="2">
      <x/>
    </i>
    <i r="2">
      <x v="1"/>
    </i>
    <i>
      <x v="3"/>
    </i>
    <i r="1">
      <x/>
    </i>
    <i r="2">
      <x/>
    </i>
    <i r="2">
      <x v="1"/>
    </i>
    <i r="1">
      <x v="2"/>
    </i>
    <i r="2">
      <x/>
    </i>
    <i r="2">
      <x v="1"/>
    </i>
    <i>
      <x v="4"/>
    </i>
    <i r="1">
      <x/>
    </i>
    <i r="2">
      <x/>
    </i>
    <i r="2">
      <x v="1"/>
    </i>
    <i r="1">
      <x v="2"/>
    </i>
    <i r="2">
      <x/>
    </i>
    <i r="2">
      <x v="1"/>
    </i>
    <i>
      <x v="5"/>
    </i>
    <i r="1">
      <x/>
    </i>
    <i r="2">
      <x/>
    </i>
    <i r="2">
      <x v="1"/>
    </i>
    <i r="1">
      <x v="2"/>
    </i>
    <i r="2">
      <x/>
    </i>
    <i r="2">
      <x v="1"/>
    </i>
    <i t="grand">
      <x/>
    </i>
  </rowItems>
  <colFields count="2">
    <field x="12"/>
    <field x="9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pageFields count="1">
    <pageField fld="14" hier="-1"/>
  </pageFields>
  <dataFields count="1">
    <dataField name="Count of no" fld="0" subtotal="count" baseField="0" baseItem="0"/>
  </dataFields>
  <formats count="19">
    <format dxfId="0">
      <pivotArea outline="0" collapsedLevelsAreSubtotals="1" fieldPosition="0">
        <references count="1">
          <reference field="12" count="1" selected="0" defaultSubtotal="1">
            <x v="1"/>
          </reference>
        </references>
      </pivotArea>
    </format>
    <format dxfId="1">
      <pivotArea outline="0" collapsedLevelsAreSubtotals="1" fieldPosition="0">
        <references count="2">
          <reference field="9" count="1" selected="0">
            <x v="0"/>
          </reference>
          <reference field="12" count="1" selected="0">
            <x v="1"/>
          </reference>
        </references>
      </pivotArea>
    </format>
    <format dxfId="2">
      <pivotArea outline="0" collapsedLevelsAreSubtotals="1" fieldPosition="0">
        <references count="2">
          <reference field="9" count="1" selected="0">
            <x v="1"/>
          </reference>
          <reference field="12" count="1" selected="0">
            <x v="1"/>
          </reference>
        </references>
      </pivotArea>
    </format>
    <format dxfId="3">
      <pivotArea dataOnly="0" labelOnly="1" fieldPosition="0">
        <references count="1">
          <reference field="12" count="1">
            <x v="1"/>
          </reference>
        </references>
      </pivotArea>
    </format>
    <format dxfId="4">
      <pivotArea dataOnly="0" labelOnly="1" fieldPosition="0">
        <references count="1">
          <reference field="12" count="1" defaultSubtotal="1">
            <x v="1"/>
          </reference>
        </references>
      </pivotArea>
    </format>
    <format dxfId="5">
      <pivotArea dataOnly="0" labelOnly="1" fieldPosition="0">
        <references count="2">
          <reference field="9" count="0"/>
          <reference field="12" count="1" selected="0">
            <x v="1"/>
          </reference>
        </references>
      </pivotArea>
    </format>
    <format dxfId="6">
      <pivotArea outline="0" collapsedLevelsAreSubtotals="1" fieldPosition="0">
        <references count="1">
          <reference field="12" count="1" selected="0" defaultSubtotal="1">
            <x v="0"/>
          </reference>
        </references>
      </pivotArea>
    </format>
    <format dxfId="7">
      <pivotArea field="12" type="button" dataOnly="0" labelOnly="1" outline="0" axis="axisCol" fieldPosition="0"/>
    </format>
    <format dxfId="8">
      <pivotArea field="9" type="button" dataOnly="0" labelOnly="1" outline="0" axis="axisCol" fieldPosition="1"/>
    </format>
    <format dxfId="9">
      <pivotArea type="topRight" dataOnly="0" labelOnly="1" outline="0" fieldPosition="0"/>
    </format>
    <format dxfId="10">
      <pivotArea dataOnly="0" labelOnly="1" fieldPosition="0">
        <references count="1">
          <reference field="12" count="1">
            <x v="0"/>
          </reference>
        </references>
      </pivotArea>
    </format>
    <format dxfId="11">
      <pivotArea dataOnly="0" labelOnly="1" fieldPosition="0">
        <references count="1">
          <reference field="12" count="1" defaultSubtotal="1">
            <x v="0"/>
          </reference>
        </references>
      </pivotArea>
    </format>
    <format dxfId="12">
      <pivotArea dataOnly="0" labelOnly="1" fieldPosition="0">
        <references count="2">
          <reference field="9" count="0"/>
          <reference field="12" count="1" selected="0">
            <x v="0"/>
          </reference>
        </references>
      </pivotArea>
    </format>
    <format dxfId="13">
      <pivotArea outline="0" collapsedLevelsAreSubtotals="1" fieldPosition="0">
        <references count="1">
          <reference field="12" count="1" selected="0" defaultSubtotal="1">
            <x v="1"/>
          </reference>
        </references>
      </pivotArea>
    </format>
    <format dxfId="14">
      <pivotArea type="topRight" dataOnly="0" labelOnly="1" outline="0" offset="B1:D1" fieldPosition="0"/>
    </format>
    <format dxfId="15">
      <pivotArea dataOnly="0" labelOnly="1" fieldPosition="0">
        <references count="1">
          <reference field="12" count="1">
            <x v="1"/>
          </reference>
        </references>
      </pivotArea>
    </format>
    <format dxfId="16">
      <pivotArea dataOnly="0" labelOnly="1" fieldPosition="0">
        <references count="1">
          <reference field="12" count="1" defaultSubtotal="1">
            <x v="1"/>
          </reference>
        </references>
      </pivotArea>
    </format>
    <format dxfId="17">
      <pivotArea dataOnly="0" labelOnly="1" fieldPosition="0">
        <references count="2">
          <reference field="9" count="0"/>
          <reference field="12" count="1" selected="0">
            <x v="1"/>
          </reference>
        </references>
      </pivotArea>
    </format>
    <format dxfId="18">
      <pivotArea dataOnly="0" labelOnly="1" fieldPosition="0">
        <references count="2">
          <reference field="9" count="1">
            <x v="0"/>
          </reference>
          <reference field="12" count="1" selected="0">
            <x v="0"/>
          </reference>
        </references>
      </pivotArea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6000000}" name="PivotTable6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O39:R55" firstHeaderRow="1" firstDataRow="2" firstDataCol="1"/>
  <pivotFields count="30">
    <pivotField dataField="1" showAll="0"/>
    <pivotField showAll="0"/>
    <pivotField showAll="0"/>
    <pivotField axis="axisRow" showAll="0">
      <items count="4">
        <item x="2"/>
        <item x="1"/>
        <item x="0"/>
        <item t="default"/>
      </items>
    </pivotField>
    <pivotField axis="axisRow" showAll="0" defaultSubtotal="0">
      <items count="3">
        <item x="2"/>
        <item x="1"/>
        <item x="0"/>
      </items>
    </pivotField>
    <pivotField showAll="0" defaultSubtotal="0"/>
    <pivotField showAll="0"/>
    <pivotField axis="axisCol" showAll="0">
      <items count="5">
        <item x="1"/>
        <item h="1" x="0"/>
        <item x="2"/>
        <item h="1" m="1" x="3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5">
        <item x="1"/>
        <item m="1" x="3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</pivotFields>
  <rowFields count="3">
    <field x="14"/>
    <field x="4"/>
    <field x="3"/>
  </rowFields>
  <rowItems count="15">
    <i>
      <x/>
    </i>
    <i r="1">
      <x/>
    </i>
    <i r="2">
      <x/>
    </i>
    <i r="2">
      <x v="1"/>
    </i>
    <i r="1">
      <x v="1"/>
    </i>
    <i r="2">
      <x/>
    </i>
    <i r="2">
      <x v="1"/>
    </i>
    <i>
      <x v="3"/>
    </i>
    <i r="1">
      <x/>
    </i>
    <i r="2">
      <x/>
    </i>
    <i r="2">
      <x v="1"/>
    </i>
    <i r="1">
      <x v="1"/>
    </i>
    <i r="2">
      <x/>
    </i>
    <i r="2">
      <x v="1"/>
    </i>
    <i t="grand">
      <x/>
    </i>
  </rowItems>
  <colFields count="1">
    <field x="7"/>
  </colFields>
  <colItems count="3">
    <i>
      <x/>
    </i>
    <i>
      <x v="2"/>
    </i>
    <i t="grand">
      <x/>
    </i>
  </colItems>
  <dataFields count="1">
    <dataField name="Count of no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if 3H/T" colHeaderCaption="then 4th?">
  <location ref="A17:E35" firstHeaderRow="1" firstDataRow="2" firstDataCol="1"/>
  <pivotFields count="30">
    <pivotField dataField="1" showAll="0"/>
    <pivotField showAll="0"/>
    <pivotField showAll="0"/>
    <pivotField showAll="0"/>
    <pivotField axis="axisRow" showAll="0" defaultSubtotal="0">
      <items count="3">
        <item x="2"/>
        <item x="1"/>
        <item x="0"/>
      </items>
    </pivotField>
    <pivotField showAll="0" defaultSubtotal="0"/>
    <pivotField showAll="0"/>
    <pivotField showAll="0"/>
    <pivotField showAll="0"/>
    <pivotField axis="axisRow" showAll="0" countASubtotal="1">
      <items count="4">
        <item x="2"/>
        <item x="1"/>
        <item h="1" x="0"/>
        <item t="countA"/>
      </items>
    </pivotField>
    <pivotField axis="axisCol" showAll="0" countASubtotal="1">
      <items count="6">
        <item h="1" x="2"/>
        <item x="1"/>
        <item h="1" x="0"/>
        <item x="4"/>
        <item x="3"/>
        <item t="countA"/>
      </items>
    </pivotField>
    <pivotField showAll="0"/>
    <pivotField showAll="0"/>
    <pivotField showAll="0"/>
    <pivotField axis="axisRow" showAll="0">
      <items count="5">
        <item x="1"/>
        <item h="1" m="1" x="3"/>
        <item h="1" x="0"/>
        <item x="2"/>
        <item t="default"/>
      </items>
    </pivotField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3">
    <field x="14"/>
    <field x="4"/>
    <field x="9"/>
  </rowFields>
  <rowItems count="17">
    <i>
      <x/>
    </i>
    <i r="1">
      <x/>
    </i>
    <i r="2">
      <x/>
    </i>
    <i r="2">
      <x v="1"/>
    </i>
    <i r="1">
      <x v="1"/>
    </i>
    <i r="2">
      <x/>
    </i>
    <i r="2">
      <x v="1"/>
    </i>
    <i>
      <x v="3"/>
    </i>
    <i r="1">
      <x/>
    </i>
    <i r="2">
      <x/>
    </i>
    <i r="2">
      <x v="1"/>
    </i>
    <i r="1">
      <x v="1"/>
    </i>
    <i r="2">
      <x/>
    </i>
    <i r="2">
      <x v="1"/>
    </i>
    <i t="countA">
      <x v="1048832"/>
      <x v="1048832"/>
      <x/>
    </i>
    <i t="countA" r="2">
      <x v="1"/>
    </i>
    <i t="grand">
      <x/>
    </i>
  </rowItems>
  <colFields count="1">
    <field x="10"/>
  </colFields>
  <colItems count="4">
    <i>
      <x v="1"/>
    </i>
    <i>
      <x v="3"/>
    </i>
    <i>
      <x v="4"/>
    </i>
    <i t="grand">
      <x/>
    </i>
  </colItems>
  <dataFields count="1">
    <dataField name="Count of no" fld="0" subtotal="count" baseField="0" baseItem="0"/>
  </dataFields>
  <formats count="1">
    <format dxfId="40">
      <pivotArea dataOnly="0" labelOnly="1" fieldPosition="0">
        <references count="1">
          <reference field="10" count="3">
            <x v="1"/>
            <x v="3"/>
            <x v="4"/>
          </reference>
        </references>
      </pivotArea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5000000}" name="PivotTable5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O26:R34" firstHeaderRow="1" firstDataRow="2" firstDataCol="1"/>
  <pivotFields count="30">
    <pivotField dataField="1" showAll="0"/>
    <pivotField showAll="0"/>
    <pivotField showAll="0"/>
    <pivotField axis="axisRow" showAll="0">
      <items count="4">
        <item x="2"/>
        <item x="1"/>
        <item x="0"/>
        <item t="default"/>
      </items>
    </pivotField>
    <pivotField axis="axisRow" showAll="0" defaultSubtotal="0">
      <items count="3">
        <item x="2"/>
        <item x="1"/>
        <item x="0"/>
      </items>
    </pivotField>
    <pivotField showAll="0" defaultSubtotal="0"/>
    <pivotField showAll="0"/>
    <pivotField axis="axisCol" showAll="0">
      <items count="5">
        <item x="1"/>
        <item h="1" x="0"/>
        <item x="2"/>
        <item h="1" m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</pivotFields>
  <rowFields count="2">
    <field x="4"/>
    <field x="3"/>
  </rowFields>
  <rowItems count="7">
    <i>
      <x/>
    </i>
    <i r="1">
      <x/>
    </i>
    <i r="1">
      <x v="1"/>
    </i>
    <i>
      <x v="1"/>
    </i>
    <i r="1">
      <x/>
    </i>
    <i r="1">
      <x v="1"/>
    </i>
    <i t="grand">
      <x/>
    </i>
  </rowItems>
  <colFields count="1">
    <field x="7"/>
  </colFields>
  <colItems count="3">
    <i>
      <x/>
    </i>
    <i>
      <x v="2"/>
    </i>
    <i t="grand">
      <x/>
    </i>
  </colItems>
  <dataFields count="1">
    <dataField name="Count of no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3000000}" name="PivotTable3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O13:R21" firstHeaderRow="1" firstDataRow="2" firstDataCol="1"/>
  <pivotFields count="30">
    <pivotField dataField="1" showAll="0"/>
    <pivotField showAll="0"/>
    <pivotField showAll="0"/>
    <pivotField axis="axisRow" showAll="0">
      <items count="4">
        <item x="2"/>
        <item x="1"/>
        <item x="0"/>
        <item t="default"/>
      </items>
    </pivotField>
    <pivotField showAll="0" defaultSubtotal="0"/>
    <pivotField showAll="0" defaultSubtotal="0"/>
    <pivotField showAll="0"/>
    <pivotField axis="axisCol" showAll="0">
      <items count="5">
        <item x="1"/>
        <item h="1" x="0"/>
        <item x="2"/>
        <item h="1" m="1" x="3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5">
        <item x="1"/>
        <item m="1" x="3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</pivotFields>
  <rowFields count="2">
    <field x="14"/>
    <field x="3"/>
  </rowFields>
  <rowItems count="7">
    <i>
      <x/>
    </i>
    <i r="1">
      <x/>
    </i>
    <i r="1">
      <x v="1"/>
    </i>
    <i>
      <x v="3"/>
    </i>
    <i r="1">
      <x/>
    </i>
    <i r="1">
      <x v="1"/>
    </i>
    <i t="grand">
      <x/>
    </i>
  </rowItems>
  <colFields count="1">
    <field x="7"/>
  </colFields>
  <colItems count="3">
    <i>
      <x/>
    </i>
    <i>
      <x v="2"/>
    </i>
    <i t="grand">
      <x/>
    </i>
  </colItems>
  <dataFields count="1">
    <dataField name="Count of no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1000000}" name="PivotTable16" cacheId="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65:D74" firstHeaderRow="1" firstDataRow="2" firstDataCol="1" rowPageCount="1" colPageCount="1"/>
  <pivotFields count="15">
    <pivotField dataField="1" showAll="0"/>
    <pivotField showAll="0">
      <items count="9">
        <item x="2"/>
        <item x="5"/>
        <item x="1"/>
        <item x="3"/>
        <item x="4"/>
        <item x="6"/>
        <item x="0"/>
        <item x="7"/>
        <item t="default"/>
      </items>
    </pivotField>
    <pivotField showAll="0"/>
    <pivotField showAll="0"/>
    <pivotField axis="axisCol" showAll="0">
      <items count="5">
        <item x="2"/>
        <item x="1"/>
        <item h="1" x="0"/>
        <item h="1" x="3"/>
        <item t="default"/>
      </items>
    </pivotField>
    <pivotField showAll="0"/>
    <pivotField axis="axisRow" showAll="0">
      <items count="10">
        <item x="0"/>
        <item x="5"/>
        <item x="2"/>
        <item x="7"/>
        <item x="6"/>
        <item x="4"/>
        <item x="3"/>
        <item x="1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5">
        <item x="1"/>
        <item h="1" x="0"/>
        <item h="1" x="2"/>
        <item h="1" x="3"/>
        <item t="default"/>
      </items>
    </pivotField>
  </pivotFields>
  <rowFields count="1">
    <field x="6"/>
  </rowFields>
  <rowItems count="8"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4"/>
  </colFields>
  <colItems count="3">
    <i>
      <x/>
    </i>
    <i>
      <x v="1"/>
    </i>
    <i t="grand">
      <x/>
    </i>
  </colItems>
  <pageFields count="1">
    <pageField fld="14" hier="-1"/>
  </pageFields>
  <dataFields count="1">
    <dataField name="Count of no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4000000}" name="PivotTable4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O4:R8" firstHeaderRow="1" firstDataRow="2" firstDataCol="1"/>
  <pivotFields count="30">
    <pivotField dataField="1" showAll="0"/>
    <pivotField showAll="0"/>
    <pivotField showAll="0"/>
    <pivotField axis="axisRow" showAll="0">
      <items count="4">
        <item x="2"/>
        <item x="1"/>
        <item x="0"/>
        <item t="default"/>
      </items>
    </pivotField>
    <pivotField showAll="0" defaultSubtotal="0"/>
    <pivotField showAll="0" defaultSubtotal="0"/>
    <pivotField showAll="0"/>
    <pivotField axis="axisCol" showAll="0">
      <items count="5">
        <item x="1"/>
        <item h="1" x="0"/>
        <item x="2"/>
        <item h="1" m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</pivotFields>
  <rowFields count="1">
    <field x="3"/>
  </rowFields>
  <rowItems count="3">
    <i>
      <x/>
    </i>
    <i>
      <x v="1"/>
    </i>
    <i t="grand">
      <x/>
    </i>
  </rowItems>
  <colFields count="1">
    <field x="7"/>
  </colFields>
  <colItems count="3">
    <i>
      <x/>
    </i>
    <i>
      <x v="2"/>
    </i>
    <i t="grand">
      <x/>
    </i>
  </colItems>
  <dataFields count="1">
    <dataField name="Count of no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23" cacheId="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:B15" firstHeaderRow="1" firstDataRow="1" firstDataCol="1" rowPageCount="2" colPageCount="1"/>
  <pivotFields count="11">
    <pivotField dataField="1" showAll="0"/>
    <pivotField showAll="0"/>
    <pivotField showAll="0"/>
    <pivotField showAll="0"/>
    <pivotField showAll="0"/>
    <pivotField showAll="0"/>
    <pivotField axis="axisPage" multipleItemSelectionAllowed="1" showAll="0">
      <items count="10">
        <item h="1" x="0"/>
        <item x="5"/>
        <item x="2"/>
        <item x="7"/>
        <item x="6"/>
        <item x="4"/>
        <item x="3"/>
        <item x="1"/>
        <item h="1" x="8"/>
        <item t="default"/>
      </items>
    </pivotField>
    <pivotField axis="axisPage" multipleItemSelectionAllowed="1" showAll="0">
      <items count="5">
        <item x="1"/>
        <item h="1" x="0"/>
        <item x="2"/>
        <item h="1" x="3"/>
        <item t="default"/>
      </items>
    </pivotField>
    <pivotField showAll="0"/>
    <pivotField axis="axisRow" showAll="0">
      <items count="5">
        <item x="2"/>
        <item x="1"/>
        <item x="0"/>
        <item x="3"/>
        <item t="default"/>
      </items>
    </pivotField>
    <pivotField axis="axisRow" showAll="0">
      <items count="7">
        <item x="2"/>
        <item x="1"/>
        <item x="0"/>
        <item x="4"/>
        <item x="3"/>
        <item x="5"/>
        <item t="default"/>
      </items>
    </pivotField>
  </pivotFields>
  <rowFields count="2">
    <field x="9"/>
    <field x="10"/>
  </rowFields>
  <rowItems count="11">
    <i>
      <x/>
    </i>
    <i r="1">
      <x/>
    </i>
    <i r="1">
      <x v="1"/>
    </i>
    <i r="1">
      <x v="3"/>
    </i>
    <i r="1">
      <x v="4"/>
    </i>
    <i>
      <x v="1"/>
    </i>
    <i r="1">
      <x/>
    </i>
    <i r="1">
      <x v="1"/>
    </i>
    <i r="1">
      <x v="3"/>
    </i>
    <i r="1">
      <x v="4"/>
    </i>
    <i t="grand">
      <x/>
    </i>
  </rowItems>
  <colItems count="1">
    <i/>
  </colItems>
  <pageFields count="2">
    <pageField fld="6" hier="-1"/>
    <pageField fld="7" hier="-1"/>
  </pageFields>
  <dataFields count="1">
    <dataField name="Count of no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DataTable" displayName="DataTable" ref="A1:AH474" totalsRowShown="0" headerRowDxfId="80" dataDxfId="78" headerRowBorderDxfId="79">
  <autoFilter ref="A1:AH474" xr:uid="{00000000-0009-0000-0100-000002000000}"/>
  <tableColumns count="34">
    <tableColumn id="1" xr3:uid="{00000000-0010-0000-0000-000001000000}" name="nr" dataDxfId="77"/>
    <tableColumn id="2" xr3:uid="{00000000-0010-0000-0000-000002000000}" name="nR displayed" dataDxfId="76"/>
    <tableColumn id="3" xr3:uid="{00000000-0010-0000-0000-000003000000}" name="nR on the right (P)/ left (L)" dataDxfId="75"/>
    <tableColumn id="4" xr3:uid="{00000000-0010-0000-0000-000004000000}" name="bonus 50gr/1zł ?" dataDxfId="74"/>
    <tableColumn id="5" xr3:uid="{00000000-0010-0000-0000-000005000000}" name="sex (female(K)/male(M)" dataDxfId="73"/>
    <tableColumn id="6" xr3:uid="{00000000-0010-0000-0000-000006000000}" name="age" dataDxfId="72"/>
    <tableColumn id="7" xr3:uid="{00000000-0010-0000-0000-000007000000}" name="chose R/nR?" dataDxfId="71"/>
    <tableColumn id="8" xr3:uid="{00000000-0010-0000-0000-000008000000}" name="took 50gr/1zł?" dataDxfId="70"/>
    <tableColumn id="9" xr3:uid="{00000000-0010-0000-0000-000009000000}" name="finally has R/nR?" dataDxfId="69">
      <calculatedColumnFormula>IF(H2="NIE",G2,IF(G2="R",B2,"R"))</calculatedColumnFormula>
    </tableColumn>
    <tableColumn id="10" xr3:uid="{00000000-0010-0000-0000-00000A000000}" name="3x head (H)/tail (T)?" dataDxfId="68"/>
    <tableColumn id="11" xr3:uid="{00000000-0010-0000-0000-00000B000000}" name="then 4th: H/T/B/0" dataDxfId="67"/>
    <tableColumn id="32" xr3:uid="{00000000-0010-0000-0000-000020000000}" name="Reversal" dataDxfId="66">
      <calculatedColumnFormula>IF((AND(DataTable[[#This Row],[3x head (H)/tail (T)?]]="T",DataTable[[#This Row],[then 4th: H/T/B/0]]="H")),1,IF(AND(DataTable[[#This Row],[3x head (H)/tail (T)?]]="H",DataTable[[#This Row],[then 4th: H/T/B/0]]="T"),1,0))</calculatedColumnFormula>
    </tableColumn>
    <tableColumn id="33" xr3:uid="{00000000-0010-0000-0000-000021000000}" name="Conti" dataDxfId="65">
      <calculatedColumnFormula>IF(DataTable[[#This Row],[3x head (H)/tail (T)?]]=DataTable[[#This Row],[then 4th: H/T/B/0]],1,0)</calculatedColumnFormula>
    </tableColumn>
    <tableColumn id="34" xr3:uid="{00000000-0010-0000-0000-000022000000}" name="50/50" dataDxfId="64">
      <calculatedColumnFormula>IF(DataTable[[#This Row],[then 4th: H/T/B/0]]="B",1,0)</calculatedColumnFormula>
    </tableColumn>
    <tableColumn id="12" xr3:uid="{00000000-0010-0000-0000-00000C000000}" name="date" dataDxfId="63"/>
    <tableColumn id="13" xr3:uid="{00000000-0010-0000-0000-00000D000000}" name="14/21" dataDxfId="62"/>
    <tableColumn id="14" xr3:uid="{00000000-0010-0000-0000-00000E000000}" name="location" dataDxfId="61"/>
    <tableColumn id="15" xr3:uid="{00000000-0010-0000-0000-00000F000000}" name="experimenter" dataDxfId="60"/>
    <tableColumn id="16" xr3:uid="{00000000-0010-0000-0000-000010000000}" name="play lotteries?" dataDxfId="59"/>
    <tableColumn id="17" xr3:uid="{00000000-0010-0000-0000-000011000000}" name="play lotteries code" dataDxfId="58"/>
    <tableColumn id="18" xr3:uid="{00000000-0010-0000-0000-000012000000}" name="play lotteries?_full" dataDxfId="57"/>
    <tableColumn id="19" xr3:uid="{00000000-0010-0000-0000-000013000000}" name="explanation1" dataDxfId="56"/>
    <tableColumn id="20" xr3:uid="{00000000-0010-0000-0000-000014000000}" name="explanation2" dataDxfId="55"/>
    <tableColumn id="21" xr3:uid="{00000000-0010-0000-0000-000015000000}" name="which U?" dataDxfId="54"/>
    <tableColumn id="31" xr3:uid="{00000000-0010-0000-0000-00001F000000}" name="BL+BR" dataDxfId="53">
      <calculatedColumnFormula>IF(DataTable[[#This Row],[explanation1]]="BL",1,IF(DataTable[[#This Row],[explanation2]]="BL",1,IF(DataTable[[#This Row],[explanation1]]="BR",1,IF(DataTable[[#This Row],[explanation2]]="BR",1,0))))</calculatedColumnFormula>
    </tableColumn>
    <tableColumn id="22" xr3:uid="{00000000-0010-0000-0000-000016000000}" name="BL" dataDxfId="52"/>
    <tableColumn id="23" xr3:uid="{00000000-0010-0000-0000-000017000000}" name="WJ" dataDxfId="51"/>
    <tableColumn id="24" xr3:uid="{00000000-0010-0000-0000-000018000000}" name="U" dataDxfId="50"/>
    <tableColumn id="25" xr3:uid="{00000000-0010-0000-0000-000019000000}" name="O" dataDxfId="49"/>
    <tableColumn id="26" xr3:uid="{00000000-0010-0000-0000-00001A000000}" name="TP" dataDxfId="48"/>
    <tableColumn id="27" xr3:uid="{00000000-0010-0000-0000-00001B000000}" name="WP" dataDxfId="47"/>
    <tableColumn id="28" xr3:uid="{00000000-0010-0000-0000-00001C000000}" name="BR" dataDxfId="46"/>
    <tableColumn id="29" xr3:uid="{00000000-0010-0000-0000-00001D000000}" name="LS" dataDxfId="45"/>
    <tableColumn id="30" xr3:uid="{00000000-0010-0000-0000-00001E000000}" name="explanation_full" dataDxfId="44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.xml"/><Relationship Id="rId7" Type="http://schemas.openxmlformats.org/officeDocument/2006/relationships/pivotTable" Target="../pivotTables/pivotTable8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6" Type="http://schemas.openxmlformats.org/officeDocument/2006/relationships/pivotTable" Target="../pivotTables/pivotTable7.xml"/><Relationship Id="rId5" Type="http://schemas.openxmlformats.org/officeDocument/2006/relationships/pivotTable" Target="../pivotTables/pivotTable6.xml"/><Relationship Id="rId4" Type="http://schemas.openxmlformats.org/officeDocument/2006/relationships/pivotTable" Target="../pivotTables/pivot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17.xml"/><Relationship Id="rId3" Type="http://schemas.openxmlformats.org/officeDocument/2006/relationships/pivotTable" Target="../pivotTables/pivotTable12.xml"/><Relationship Id="rId7" Type="http://schemas.openxmlformats.org/officeDocument/2006/relationships/pivotTable" Target="../pivotTables/pivotTable16.xml"/><Relationship Id="rId2" Type="http://schemas.openxmlformats.org/officeDocument/2006/relationships/pivotTable" Target="../pivotTables/pivotTable11.xml"/><Relationship Id="rId1" Type="http://schemas.openxmlformats.org/officeDocument/2006/relationships/pivotTable" Target="../pivotTables/pivotTable10.xml"/><Relationship Id="rId6" Type="http://schemas.openxmlformats.org/officeDocument/2006/relationships/pivotTable" Target="../pivotTables/pivotTable15.xml"/><Relationship Id="rId5" Type="http://schemas.openxmlformats.org/officeDocument/2006/relationships/pivotTable" Target="../pivotTables/pivotTable14.xml"/><Relationship Id="rId4" Type="http://schemas.openxmlformats.org/officeDocument/2006/relationships/pivotTable" Target="../pivotTables/pivotTable13.xml"/><Relationship Id="rId9" Type="http://schemas.openxmlformats.org/officeDocument/2006/relationships/pivotTable" Target="../pivotTables/pivotTable1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1.xml"/><Relationship Id="rId1" Type="http://schemas.openxmlformats.org/officeDocument/2006/relationships/pivotTable" Target="../pivotTables/pivotTable20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K474"/>
  <sheetViews>
    <sheetView tabSelected="1" topLeftCell="J1" workbookViewId="0">
      <pane ySplit="1" topLeftCell="A2" activePane="bottomLeft" state="frozen"/>
      <selection pane="bottomLeft"/>
    </sheetView>
  </sheetViews>
  <sheetFormatPr baseColWidth="10" defaultRowHeight="16" x14ac:dyDescent="0.2"/>
  <cols>
    <col min="1" max="1" width="8.5" bestFit="1" customWidth="1"/>
    <col min="2" max="2" width="10" customWidth="1"/>
    <col min="3" max="3" width="12.6640625" customWidth="1"/>
    <col min="4" max="4" width="10.83203125" customWidth="1"/>
    <col min="5" max="5" width="8" customWidth="1"/>
    <col min="6" max="6" width="7.5" customWidth="1"/>
    <col min="7" max="7" width="10.6640625" customWidth="1"/>
    <col min="8" max="8" width="9.83203125" customWidth="1"/>
    <col min="9" max="9" width="12.1640625" customWidth="1"/>
    <col min="10" max="10" width="11.83203125" customWidth="1"/>
    <col min="11" max="14" width="12.5" customWidth="1"/>
    <col min="15" max="15" width="10.1640625" bestFit="1" customWidth="1"/>
    <col min="16" max="16" width="8.6640625" customWidth="1"/>
    <col min="17" max="17" width="14.33203125" style="170" customWidth="1"/>
    <col min="18" max="18" width="8.83203125" customWidth="1"/>
    <col min="19" max="19" width="13" bestFit="1" customWidth="1"/>
    <col min="20" max="20" width="11" customWidth="1"/>
    <col min="21" max="21" width="32.5" bestFit="1" customWidth="1"/>
    <col min="22" max="22" width="11.1640625" customWidth="1"/>
    <col min="23" max="23" width="12.1640625" customWidth="1"/>
    <col min="24" max="24" width="9.5" customWidth="1"/>
    <col min="25" max="25" width="10.83203125" customWidth="1"/>
    <col min="26" max="26" width="10" customWidth="1"/>
    <col min="27" max="27" width="8.83203125" customWidth="1"/>
    <col min="28" max="28" width="7.6640625" customWidth="1"/>
    <col min="29" max="29" width="7.83203125" customWidth="1"/>
    <col min="30" max="30" width="10.33203125" customWidth="1"/>
    <col min="31" max="31" width="11.5" customWidth="1"/>
    <col min="32" max="33" width="10.1640625" customWidth="1"/>
    <col min="34" max="34" width="154.33203125" bestFit="1" customWidth="1"/>
    <col min="37" max="37" width="116" bestFit="1" customWidth="1"/>
  </cols>
  <sheetData>
    <row r="1" spans="1:37" s="126" customFormat="1" ht="64" x14ac:dyDescent="0.2">
      <c r="A1" s="6" t="s">
        <v>520</v>
      </c>
      <c r="B1" s="1" t="s">
        <v>535</v>
      </c>
      <c r="C1" s="2" t="s">
        <v>521</v>
      </c>
      <c r="D1" s="3" t="s">
        <v>522</v>
      </c>
      <c r="E1" s="1" t="s">
        <v>523</v>
      </c>
      <c r="F1" s="3" t="s">
        <v>20</v>
      </c>
      <c r="G1" s="1" t="s">
        <v>524</v>
      </c>
      <c r="H1" s="2" t="s">
        <v>525</v>
      </c>
      <c r="I1" s="3" t="s">
        <v>526</v>
      </c>
      <c r="J1" s="1" t="s">
        <v>527</v>
      </c>
      <c r="K1" s="3" t="s">
        <v>528</v>
      </c>
      <c r="L1" s="215" t="s">
        <v>447</v>
      </c>
      <c r="M1" s="215" t="s">
        <v>452</v>
      </c>
      <c r="N1" s="215" t="s">
        <v>391</v>
      </c>
      <c r="O1" s="4" t="s">
        <v>26</v>
      </c>
      <c r="P1" s="5" t="s">
        <v>3</v>
      </c>
      <c r="Q1" s="5" t="s">
        <v>28</v>
      </c>
      <c r="R1" s="6" t="s">
        <v>29</v>
      </c>
      <c r="S1" s="5" t="s">
        <v>529</v>
      </c>
      <c r="T1" s="5" t="s">
        <v>530</v>
      </c>
      <c r="U1" s="6" t="s">
        <v>531</v>
      </c>
      <c r="V1" s="5" t="s">
        <v>33</v>
      </c>
      <c r="W1" s="5" t="s">
        <v>34</v>
      </c>
      <c r="X1" s="5" t="s">
        <v>5</v>
      </c>
      <c r="Y1" s="5" t="s">
        <v>441</v>
      </c>
      <c r="Z1" s="5" t="s">
        <v>6</v>
      </c>
      <c r="AA1" s="5" t="s">
        <v>7</v>
      </c>
      <c r="AB1" s="5" t="s">
        <v>8</v>
      </c>
      <c r="AC1" s="5" t="s">
        <v>9</v>
      </c>
      <c r="AD1" s="5" t="s">
        <v>10</v>
      </c>
      <c r="AE1" s="5" t="s">
        <v>11</v>
      </c>
      <c r="AF1" s="5" t="s">
        <v>12</v>
      </c>
      <c r="AG1" s="5" t="s">
        <v>13</v>
      </c>
      <c r="AH1" s="5" t="s">
        <v>14</v>
      </c>
    </row>
    <row r="2" spans="1:37" ht="48" x14ac:dyDescent="0.2">
      <c r="A2" s="7" t="s">
        <v>15</v>
      </c>
      <c r="B2" s="8" t="s">
        <v>16</v>
      </c>
      <c r="C2" s="9" t="s">
        <v>17</v>
      </c>
      <c r="D2" s="10" t="s">
        <v>18</v>
      </c>
      <c r="E2" s="8" t="s">
        <v>400</v>
      </c>
      <c r="F2" s="10" t="s">
        <v>20</v>
      </c>
      <c r="G2" s="8" t="s">
        <v>21</v>
      </c>
      <c r="H2" s="9" t="s">
        <v>22</v>
      </c>
      <c r="I2" s="10" t="s">
        <v>23</v>
      </c>
      <c r="J2" s="8" t="s">
        <v>24</v>
      </c>
      <c r="K2" s="10" t="s">
        <v>25</v>
      </c>
      <c r="L2" s="9" t="s">
        <v>517</v>
      </c>
      <c r="M2" s="9" t="s">
        <v>452</v>
      </c>
      <c r="N2" s="9" t="s">
        <v>518</v>
      </c>
      <c r="O2" s="8" t="s">
        <v>26</v>
      </c>
      <c r="P2" s="9" t="s">
        <v>27</v>
      </c>
      <c r="Q2" s="9" t="s">
        <v>28</v>
      </c>
      <c r="R2" s="10" t="s">
        <v>29</v>
      </c>
      <c r="S2" s="9" t="s">
        <v>30</v>
      </c>
      <c r="T2" s="9" t="s">
        <v>31</v>
      </c>
      <c r="U2" s="10" t="s">
        <v>32</v>
      </c>
      <c r="V2" s="11" t="s">
        <v>33</v>
      </c>
      <c r="W2" s="11" t="s">
        <v>34</v>
      </c>
      <c r="X2" s="12" t="s">
        <v>35</v>
      </c>
      <c r="Y2" s="229" t="s">
        <v>519</v>
      </c>
      <c r="Z2" s="9" t="s">
        <v>36</v>
      </c>
      <c r="AA2" s="11" t="s">
        <v>37</v>
      </c>
      <c r="AB2" s="11" t="s">
        <v>38</v>
      </c>
      <c r="AC2" s="11" t="s">
        <v>39</v>
      </c>
      <c r="AD2" s="9" t="s">
        <v>40</v>
      </c>
      <c r="AE2" s="11" t="s">
        <v>41</v>
      </c>
      <c r="AF2" s="9" t="s">
        <v>42</v>
      </c>
      <c r="AG2" s="9" t="s">
        <v>43</v>
      </c>
      <c r="AH2" s="12" t="s">
        <v>14</v>
      </c>
    </row>
    <row r="3" spans="1:37" x14ac:dyDescent="0.2">
      <c r="A3" s="13">
        <v>1</v>
      </c>
      <c r="B3" s="14" t="s">
        <v>44</v>
      </c>
      <c r="C3" s="15" t="s">
        <v>45</v>
      </c>
      <c r="D3" s="16">
        <v>50</v>
      </c>
      <c r="E3" s="14" t="s">
        <v>46</v>
      </c>
      <c r="F3" s="16">
        <v>22</v>
      </c>
      <c r="G3" s="14" t="s">
        <v>47</v>
      </c>
      <c r="H3" s="15" t="s">
        <v>48</v>
      </c>
      <c r="I3" s="16" t="str">
        <f t="shared" ref="I3:I66" si="0">IF(H3="NIE",G3,IF(G3="R",B3,"R"))</f>
        <v>R</v>
      </c>
      <c r="J3" s="14" t="s">
        <v>49</v>
      </c>
      <c r="K3" s="16" t="s">
        <v>50</v>
      </c>
      <c r="L3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" s="15">
        <f>IF(DataTable[[#This Row],[3x head (H)/tail (T)?]]=DataTable[[#This Row],[then 4th: H/T/B/0]],1,0)</f>
        <v>0</v>
      </c>
      <c r="N3" s="15">
        <f>IF(DataTable[[#This Row],[then 4th: H/T/B/0]]="B",1,0)</f>
        <v>1</v>
      </c>
      <c r="O3" s="14" t="s">
        <v>51</v>
      </c>
      <c r="P3" s="15">
        <v>14</v>
      </c>
      <c r="Q3" s="17" t="s">
        <v>406</v>
      </c>
      <c r="R3" s="16" t="s">
        <v>53</v>
      </c>
      <c r="S3" s="18" t="s">
        <v>54</v>
      </c>
      <c r="T3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3" s="19" t="s">
        <v>55</v>
      </c>
      <c r="V3" s="20" t="s">
        <v>6</v>
      </c>
      <c r="W3" s="20" t="s">
        <v>10</v>
      </c>
      <c r="X3" s="18"/>
      <c r="Y3" s="18">
        <f>IF(DataTable[[#This Row],[explanation1]]="BL",1,IF(DataTable[[#This Row],[explanation2]]="BL",1,IF(DataTable[[#This Row],[explanation1]]="BR",1,IF(DataTable[[#This Row],[explanation2]]="BR",1,0))))</f>
        <v>1</v>
      </c>
      <c r="Z3" s="18">
        <f>IF(DataTable[[#This Row],[explanation1]]="BL",1,IF(DataTable[[#This Row],[explanation2]]="BL",1,0))</f>
        <v>1</v>
      </c>
      <c r="AA3" s="18">
        <f>IF(DataTable[[#This Row],[explanation1]]="WJ",1,IF(DataTable[[#This Row],[explanation2]]="WJ",1,0))</f>
        <v>0</v>
      </c>
      <c r="AB3" s="18">
        <f>IF(DataTable[[#This Row],[explanation1]]="U",1,IF(DataTable[[#This Row],[explanation2]]="U",1,0))</f>
        <v>0</v>
      </c>
      <c r="AC3" s="18">
        <f>IF(DataTable[[#This Row],[explanation1]]="O",1,IF(DataTable[[#This Row],[explanation2]]="O",1,0))</f>
        <v>0</v>
      </c>
      <c r="AD3" s="18">
        <f>IF(DataTable[[#This Row],[explanation1]]="TP",1,IF(DataTable[[#This Row],[explanation2]]="TP",1,0))</f>
        <v>1</v>
      </c>
      <c r="AE3" s="18">
        <f>IF(DataTable[[#This Row],[explanation1]]="WP",1,IF(DataTable[[#This Row],[explanation2]]="WP",1,0))</f>
        <v>0</v>
      </c>
      <c r="AF3" s="18">
        <f>IF(DataTable[[#This Row],[explanation1]]="BR",1,IF(DataTable[[#This Row],[explanation2]]="BR",1,0))</f>
        <v>0</v>
      </c>
      <c r="AG3" s="18">
        <f>IF(DataTable[[#This Row],[explanation1]]="LS",1,IF(DataTable[[#This Row],[explanation2]]="LS",1,0))</f>
        <v>0</v>
      </c>
      <c r="AH3" s="21" t="s">
        <v>56</v>
      </c>
      <c r="AK3" s="40" t="s">
        <v>349</v>
      </c>
    </row>
    <row r="4" spans="1:37" x14ac:dyDescent="0.2">
      <c r="A4" s="22">
        <v>2</v>
      </c>
      <c r="B4" s="23" t="s">
        <v>57</v>
      </c>
      <c r="C4" s="24" t="s">
        <v>45</v>
      </c>
      <c r="D4" s="25">
        <v>50</v>
      </c>
      <c r="E4" s="23" t="s">
        <v>58</v>
      </c>
      <c r="F4" s="25">
        <v>24</v>
      </c>
      <c r="G4" s="23" t="s">
        <v>47</v>
      </c>
      <c r="H4" s="24" t="s">
        <v>48</v>
      </c>
      <c r="I4" s="25" t="str">
        <f t="shared" si="0"/>
        <v>R</v>
      </c>
      <c r="J4" s="23" t="s">
        <v>49</v>
      </c>
      <c r="K4" s="25" t="s">
        <v>50</v>
      </c>
      <c r="L4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" s="24">
        <f>IF(DataTable[[#This Row],[3x head (H)/tail (T)?]]=DataTable[[#This Row],[then 4th: H/T/B/0]],1,0)</f>
        <v>0</v>
      </c>
      <c r="N4" s="24">
        <f>IF(DataTable[[#This Row],[then 4th: H/T/B/0]]="B",1,0)</f>
        <v>1</v>
      </c>
      <c r="O4" s="23" t="s">
        <v>51</v>
      </c>
      <c r="P4" s="24">
        <v>14</v>
      </c>
      <c r="Q4" s="26" t="s">
        <v>406</v>
      </c>
      <c r="R4" s="25" t="s">
        <v>53</v>
      </c>
      <c r="S4" s="27" t="s">
        <v>54</v>
      </c>
      <c r="T4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4" s="28" t="s">
        <v>55</v>
      </c>
      <c r="V4" s="29" t="s">
        <v>6</v>
      </c>
      <c r="W4" s="29" t="s">
        <v>12</v>
      </c>
      <c r="X4" s="27"/>
      <c r="Y4" s="18">
        <f>IF(DataTable[[#This Row],[explanation1]]="BL",1,IF(DataTable[[#This Row],[explanation2]]="BL",1,IF(DataTable[[#This Row],[explanation1]]="BR",1,IF(DataTable[[#This Row],[explanation2]]="BR",1,0))))</f>
        <v>1</v>
      </c>
      <c r="Z4" s="18">
        <f>IF(DataTable[[#This Row],[explanation1]]="BL",1,IF(DataTable[[#This Row],[explanation2]]="BL",1,0))</f>
        <v>1</v>
      </c>
      <c r="AA4" s="18">
        <f>IF(DataTable[[#This Row],[explanation1]]="WJ",1,IF(DataTable[[#This Row],[explanation2]]="WJ",1,0))</f>
        <v>0</v>
      </c>
      <c r="AB4" s="18">
        <f>IF(DataTable[[#This Row],[explanation1]]="U",1,IF(DataTable[[#This Row],[explanation2]]="U",1,0))</f>
        <v>0</v>
      </c>
      <c r="AC4" s="18">
        <f>IF(DataTable[[#This Row],[explanation1]]="O",1,IF(DataTable[[#This Row],[explanation2]]="O",1,0))</f>
        <v>0</v>
      </c>
      <c r="AD4" s="18">
        <f>IF(DataTable[[#This Row],[explanation1]]="TP",1,IF(DataTable[[#This Row],[explanation2]]="TP",1,0))</f>
        <v>0</v>
      </c>
      <c r="AE4" s="18">
        <f>IF(DataTable[[#This Row],[explanation1]]="WP",1,IF(DataTable[[#This Row],[explanation2]]="WP",1,0))</f>
        <v>0</v>
      </c>
      <c r="AF4" s="18">
        <f>IF(DataTable[[#This Row],[explanation1]]="BR",1,IF(DataTable[[#This Row],[explanation2]]="BR",1,0))</f>
        <v>1</v>
      </c>
      <c r="AG4" s="18">
        <f>IF(DataTable[[#This Row],[explanation1]]="LS",1,IF(DataTable[[#This Row],[explanation2]]="LS",1,0))</f>
        <v>0</v>
      </c>
      <c r="AH4" s="29" t="s">
        <v>59</v>
      </c>
      <c r="AK4" s="40" t="s">
        <v>350</v>
      </c>
    </row>
    <row r="5" spans="1:37" x14ac:dyDescent="0.2">
      <c r="A5" s="13">
        <v>3</v>
      </c>
      <c r="B5" s="14" t="s">
        <v>60</v>
      </c>
      <c r="C5" s="15" t="s">
        <v>45</v>
      </c>
      <c r="D5" s="16">
        <v>50</v>
      </c>
      <c r="E5" s="14" t="s">
        <v>58</v>
      </c>
      <c r="F5" s="16">
        <v>21</v>
      </c>
      <c r="G5" s="14" t="s">
        <v>47</v>
      </c>
      <c r="H5" s="15" t="s">
        <v>48</v>
      </c>
      <c r="I5" s="16" t="str">
        <f t="shared" si="0"/>
        <v>R</v>
      </c>
      <c r="J5" s="14" t="s">
        <v>49</v>
      </c>
      <c r="K5" s="16" t="s">
        <v>50</v>
      </c>
      <c r="L5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5" s="15">
        <f>IF(DataTable[[#This Row],[3x head (H)/tail (T)?]]=DataTable[[#This Row],[then 4th: H/T/B/0]],1,0)</f>
        <v>0</v>
      </c>
      <c r="N5" s="15">
        <f>IF(DataTable[[#This Row],[then 4th: H/T/B/0]]="B",1,0)</f>
        <v>1</v>
      </c>
      <c r="O5" s="14" t="s">
        <v>51</v>
      </c>
      <c r="P5" s="15">
        <v>14</v>
      </c>
      <c r="Q5" s="17" t="s">
        <v>406</v>
      </c>
      <c r="R5" s="16" t="s">
        <v>53</v>
      </c>
      <c r="S5" s="30" t="s">
        <v>61</v>
      </c>
      <c r="T5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4</v>
      </c>
      <c r="U5" s="19" t="s">
        <v>62</v>
      </c>
      <c r="V5" s="20" t="s">
        <v>12</v>
      </c>
      <c r="W5" s="20"/>
      <c r="X5" s="18"/>
      <c r="Y5" s="18">
        <f>IF(DataTable[[#This Row],[explanation1]]="BL",1,IF(DataTable[[#This Row],[explanation2]]="BL",1,IF(DataTable[[#This Row],[explanation1]]="BR",1,IF(DataTable[[#This Row],[explanation2]]="BR",1,0))))</f>
        <v>1</v>
      </c>
      <c r="Z5" s="18">
        <f>IF(DataTable[[#This Row],[explanation1]]="BL",1,IF(DataTable[[#This Row],[explanation2]]="BL",1,0))</f>
        <v>0</v>
      </c>
      <c r="AA5" s="18">
        <f>IF(DataTable[[#This Row],[explanation1]]="WJ",1,IF(DataTable[[#This Row],[explanation2]]="WJ",1,0))</f>
        <v>0</v>
      </c>
      <c r="AB5" s="18">
        <f>IF(DataTable[[#This Row],[explanation1]]="U",1,IF(DataTable[[#This Row],[explanation2]]="U",1,0))</f>
        <v>0</v>
      </c>
      <c r="AC5" s="18">
        <f>IF(DataTable[[#This Row],[explanation1]]="O",1,IF(DataTable[[#This Row],[explanation2]]="O",1,0))</f>
        <v>0</v>
      </c>
      <c r="AD5" s="18">
        <f>IF(DataTable[[#This Row],[explanation1]]="TP",1,IF(DataTable[[#This Row],[explanation2]]="TP",1,0))</f>
        <v>0</v>
      </c>
      <c r="AE5" s="18">
        <f>IF(DataTable[[#This Row],[explanation1]]="WP",1,IF(DataTable[[#This Row],[explanation2]]="WP",1,0))</f>
        <v>0</v>
      </c>
      <c r="AF5" s="18">
        <f>IF(DataTable[[#This Row],[explanation1]]="BR",1,IF(DataTable[[#This Row],[explanation2]]="BR",1,0))</f>
        <v>1</v>
      </c>
      <c r="AG5" s="18">
        <f>IF(DataTable[[#This Row],[explanation1]]="LS",1,IF(DataTable[[#This Row],[explanation2]]="LS",1,0))</f>
        <v>0</v>
      </c>
      <c r="AH5" s="20" t="s">
        <v>63</v>
      </c>
      <c r="AK5" t="s">
        <v>351</v>
      </c>
    </row>
    <row r="6" spans="1:37" x14ac:dyDescent="0.2">
      <c r="A6" s="22">
        <v>4</v>
      </c>
      <c r="B6" s="23" t="s">
        <v>64</v>
      </c>
      <c r="C6" s="24" t="s">
        <v>45</v>
      </c>
      <c r="D6" s="25">
        <v>50</v>
      </c>
      <c r="E6" s="23" t="s">
        <v>46</v>
      </c>
      <c r="F6" s="25">
        <v>23</v>
      </c>
      <c r="G6" s="23" t="s">
        <v>47</v>
      </c>
      <c r="H6" s="24" t="s">
        <v>48</v>
      </c>
      <c r="I6" s="25" t="str">
        <f t="shared" si="0"/>
        <v>R</v>
      </c>
      <c r="J6" s="23" t="s">
        <v>49</v>
      </c>
      <c r="K6" s="25">
        <v>0</v>
      </c>
      <c r="L6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6" s="24">
        <f>IF(DataTable[[#This Row],[3x head (H)/tail (T)?]]=DataTable[[#This Row],[then 4th: H/T/B/0]],1,0)</f>
        <v>0</v>
      </c>
      <c r="N6" s="24">
        <f>IF(DataTable[[#This Row],[then 4th: H/T/B/0]]="B",1,0)</f>
        <v>0</v>
      </c>
      <c r="O6" s="23" t="s">
        <v>51</v>
      </c>
      <c r="P6" s="24">
        <v>14</v>
      </c>
      <c r="Q6" s="26" t="s">
        <v>406</v>
      </c>
      <c r="R6" s="25" t="s">
        <v>53</v>
      </c>
      <c r="S6" s="27" t="s">
        <v>65</v>
      </c>
      <c r="T6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6" s="28" t="s">
        <v>66</v>
      </c>
      <c r="V6" s="29" t="s">
        <v>6</v>
      </c>
      <c r="W6" s="29"/>
      <c r="X6" s="27"/>
      <c r="Y6" s="18">
        <f>IF(DataTable[[#This Row],[explanation1]]="BL",1,IF(DataTable[[#This Row],[explanation2]]="BL",1,IF(DataTable[[#This Row],[explanation1]]="BR",1,IF(DataTable[[#This Row],[explanation2]]="BR",1,0))))</f>
        <v>1</v>
      </c>
      <c r="Z6" s="18">
        <f>IF(DataTable[[#This Row],[explanation1]]="BL",1,IF(DataTable[[#This Row],[explanation2]]="BL",1,0))</f>
        <v>1</v>
      </c>
      <c r="AA6" s="18">
        <f>IF(DataTable[[#This Row],[explanation1]]="WJ",1,IF(DataTable[[#This Row],[explanation2]]="WJ",1,0))</f>
        <v>0</v>
      </c>
      <c r="AB6" s="18">
        <f>IF(DataTable[[#This Row],[explanation1]]="U",1,IF(DataTable[[#This Row],[explanation2]]="U",1,0))</f>
        <v>0</v>
      </c>
      <c r="AC6" s="18">
        <f>IF(DataTable[[#This Row],[explanation1]]="O",1,IF(DataTable[[#This Row],[explanation2]]="O",1,0))</f>
        <v>0</v>
      </c>
      <c r="AD6" s="18">
        <f>IF(DataTable[[#This Row],[explanation1]]="TP",1,IF(DataTable[[#This Row],[explanation2]]="TP",1,0))</f>
        <v>0</v>
      </c>
      <c r="AE6" s="18">
        <f>IF(DataTable[[#This Row],[explanation1]]="WP",1,IF(DataTable[[#This Row],[explanation2]]="WP",1,0))</f>
        <v>0</v>
      </c>
      <c r="AF6" s="18">
        <f>IF(DataTable[[#This Row],[explanation1]]="BR",1,IF(DataTable[[#This Row],[explanation2]]="BR",1,0))</f>
        <v>0</v>
      </c>
      <c r="AG6" s="18">
        <f>IF(DataTable[[#This Row],[explanation1]]="LS",1,IF(DataTable[[#This Row],[explanation2]]="LS",1,0))</f>
        <v>0</v>
      </c>
      <c r="AH6" s="29" t="s">
        <v>67</v>
      </c>
      <c r="AK6" t="s">
        <v>352</v>
      </c>
    </row>
    <row r="7" spans="1:37" x14ac:dyDescent="0.2">
      <c r="A7" s="13">
        <v>5</v>
      </c>
      <c r="B7" s="14" t="s">
        <v>68</v>
      </c>
      <c r="C7" s="15" t="s">
        <v>45</v>
      </c>
      <c r="D7" s="16">
        <v>50</v>
      </c>
      <c r="E7" s="14" t="s">
        <v>46</v>
      </c>
      <c r="F7" s="16">
        <v>42</v>
      </c>
      <c r="G7" s="14" t="s">
        <v>47</v>
      </c>
      <c r="H7" s="15" t="s">
        <v>48</v>
      </c>
      <c r="I7" s="16" t="str">
        <f t="shared" si="0"/>
        <v>R</v>
      </c>
      <c r="J7" s="14" t="s">
        <v>49</v>
      </c>
      <c r="K7" s="16" t="s">
        <v>50</v>
      </c>
      <c r="L7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7" s="15">
        <f>IF(DataTable[[#This Row],[3x head (H)/tail (T)?]]=DataTable[[#This Row],[then 4th: H/T/B/0]],1,0)</f>
        <v>0</v>
      </c>
      <c r="N7" s="15">
        <f>IF(DataTable[[#This Row],[then 4th: H/T/B/0]]="B",1,0)</f>
        <v>1</v>
      </c>
      <c r="O7" s="14" t="s">
        <v>51</v>
      </c>
      <c r="P7" s="15">
        <v>14</v>
      </c>
      <c r="Q7" s="17" t="s">
        <v>406</v>
      </c>
      <c r="R7" s="16" t="s">
        <v>53</v>
      </c>
      <c r="S7" s="18" t="s">
        <v>54</v>
      </c>
      <c r="T7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7" s="19" t="s">
        <v>55</v>
      </c>
      <c r="V7" s="20" t="s">
        <v>9</v>
      </c>
      <c r="W7" s="20"/>
      <c r="X7" s="18"/>
      <c r="Y7" s="18">
        <f>IF(DataTable[[#This Row],[explanation1]]="BL",1,IF(DataTable[[#This Row],[explanation2]]="BL",1,IF(DataTable[[#This Row],[explanation1]]="BR",1,IF(DataTable[[#This Row],[explanation2]]="BR",1,0))))</f>
        <v>0</v>
      </c>
      <c r="Z7" s="18">
        <f>IF(DataTable[[#This Row],[explanation1]]="BL",1,IF(DataTable[[#This Row],[explanation2]]="BL",1,0))</f>
        <v>0</v>
      </c>
      <c r="AA7" s="18">
        <f>IF(DataTable[[#This Row],[explanation1]]="WJ",1,IF(DataTable[[#This Row],[explanation2]]="WJ",1,0))</f>
        <v>0</v>
      </c>
      <c r="AB7" s="18">
        <f>IF(DataTable[[#This Row],[explanation1]]="U",1,IF(DataTable[[#This Row],[explanation2]]="U",1,0))</f>
        <v>0</v>
      </c>
      <c r="AC7" s="18">
        <f>IF(DataTable[[#This Row],[explanation1]]="O",1,IF(DataTable[[#This Row],[explanation2]]="O",1,0))</f>
        <v>1</v>
      </c>
      <c r="AD7" s="18">
        <f>IF(DataTable[[#This Row],[explanation1]]="TP",1,IF(DataTable[[#This Row],[explanation2]]="TP",1,0))</f>
        <v>0</v>
      </c>
      <c r="AE7" s="18">
        <f>IF(DataTable[[#This Row],[explanation1]]="WP",1,IF(DataTable[[#This Row],[explanation2]]="WP",1,0))</f>
        <v>0</v>
      </c>
      <c r="AF7" s="18">
        <f>IF(DataTable[[#This Row],[explanation1]]="BR",1,IF(DataTable[[#This Row],[explanation2]]="BR",1,0))</f>
        <v>0</v>
      </c>
      <c r="AG7" s="18">
        <f>IF(DataTable[[#This Row],[explanation1]]="LS",1,IF(DataTable[[#This Row],[explanation2]]="LS",1,0))</f>
        <v>0</v>
      </c>
      <c r="AH7" s="20" t="s">
        <v>69</v>
      </c>
      <c r="AK7" t="s">
        <v>353</v>
      </c>
    </row>
    <row r="8" spans="1:37" x14ac:dyDescent="0.2">
      <c r="A8" s="22">
        <v>6</v>
      </c>
      <c r="B8" s="23" t="s">
        <v>70</v>
      </c>
      <c r="C8" s="24" t="s">
        <v>45</v>
      </c>
      <c r="D8" s="25">
        <v>50</v>
      </c>
      <c r="E8" s="23" t="s">
        <v>58</v>
      </c>
      <c r="F8" s="25">
        <v>28</v>
      </c>
      <c r="G8" s="23" t="s">
        <v>47</v>
      </c>
      <c r="H8" s="24" t="s">
        <v>48</v>
      </c>
      <c r="I8" s="25" t="str">
        <f t="shared" si="0"/>
        <v>R</v>
      </c>
      <c r="J8" s="23" t="s">
        <v>49</v>
      </c>
      <c r="K8" s="25" t="s">
        <v>50</v>
      </c>
      <c r="L8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8" s="24">
        <f>IF(DataTable[[#This Row],[3x head (H)/tail (T)?]]=DataTable[[#This Row],[then 4th: H/T/B/0]],1,0)</f>
        <v>0</v>
      </c>
      <c r="N8" s="24">
        <f>IF(DataTable[[#This Row],[then 4th: H/T/B/0]]="B",1,0)</f>
        <v>1</v>
      </c>
      <c r="O8" s="23" t="s">
        <v>51</v>
      </c>
      <c r="P8" s="24">
        <v>14</v>
      </c>
      <c r="Q8" s="26" t="s">
        <v>71</v>
      </c>
      <c r="R8" s="25" t="s">
        <v>53</v>
      </c>
      <c r="S8" s="27" t="s">
        <v>54</v>
      </c>
      <c r="T8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8" s="28" t="s">
        <v>72</v>
      </c>
      <c r="V8" s="29" t="s">
        <v>6</v>
      </c>
      <c r="W8" s="29" t="s">
        <v>11</v>
      </c>
      <c r="X8" s="27"/>
      <c r="Y8" s="18">
        <f>IF(DataTable[[#This Row],[explanation1]]="BL",1,IF(DataTable[[#This Row],[explanation2]]="BL",1,IF(DataTable[[#This Row],[explanation1]]="BR",1,IF(DataTable[[#This Row],[explanation2]]="BR",1,0))))</f>
        <v>1</v>
      </c>
      <c r="Z8" s="18">
        <f>IF(DataTable[[#This Row],[explanation1]]="BL",1,IF(DataTable[[#This Row],[explanation2]]="BL",1,0))</f>
        <v>1</v>
      </c>
      <c r="AA8" s="18">
        <f>IF(DataTable[[#This Row],[explanation1]]="WJ",1,IF(DataTable[[#This Row],[explanation2]]="WJ",1,0))</f>
        <v>0</v>
      </c>
      <c r="AB8" s="18">
        <f>IF(DataTable[[#This Row],[explanation1]]="U",1,IF(DataTable[[#This Row],[explanation2]]="U",1,0))</f>
        <v>0</v>
      </c>
      <c r="AC8" s="18">
        <f>IF(DataTable[[#This Row],[explanation1]]="O",1,IF(DataTable[[#This Row],[explanation2]]="O",1,0))</f>
        <v>0</v>
      </c>
      <c r="AD8" s="18">
        <f>IF(DataTable[[#This Row],[explanation1]]="TP",1,IF(DataTable[[#This Row],[explanation2]]="TP",1,0))</f>
        <v>0</v>
      </c>
      <c r="AE8" s="18">
        <f>IF(DataTable[[#This Row],[explanation1]]="WP",1,IF(DataTable[[#This Row],[explanation2]]="WP",1,0))</f>
        <v>1</v>
      </c>
      <c r="AF8" s="18">
        <f>IF(DataTable[[#This Row],[explanation1]]="BR",1,IF(DataTable[[#This Row],[explanation2]]="BR",1,0))</f>
        <v>0</v>
      </c>
      <c r="AG8" s="18">
        <f>IF(DataTable[[#This Row],[explanation1]]="LS",1,IF(DataTable[[#This Row],[explanation2]]="LS",1,0))</f>
        <v>0</v>
      </c>
      <c r="AH8" s="29" t="s">
        <v>73</v>
      </c>
      <c r="AK8" t="s">
        <v>354</v>
      </c>
    </row>
    <row r="9" spans="1:37" x14ac:dyDescent="0.2">
      <c r="A9" s="13">
        <v>7</v>
      </c>
      <c r="B9" s="14" t="s">
        <v>44</v>
      </c>
      <c r="C9" s="15" t="s">
        <v>74</v>
      </c>
      <c r="D9" s="16">
        <v>50</v>
      </c>
      <c r="E9" s="14" t="s">
        <v>58</v>
      </c>
      <c r="F9" s="16">
        <v>57</v>
      </c>
      <c r="G9" s="14" t="s">
        <v>47</v>
      </c>
      <c r="H9" s="15" t="s">
        <v>48</v>
      </c>
      <c r="I9" s="16" t="str">
        <f t="shared" si="0"/>
        <v>R</v>
      </c>
      <c r="J9" s="14" t="s">
        <v>49</v>
      </c>
      <c r="K9" s="16" t="s">
        <v>49</v>
      </c>
      <c r="L9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9" s="15">
        <f>IF(DataTable[[#This Row],[3x head (H)/tail (T)?]]=DataTable[[#This Row],[then 4th: H/T/B/0]],1,0)</f>
        <v>1</v>
      </c>
      <c r="N9" s="15">
        <f>IF(DataTable[[#This Row],[then 4th: H/T/B/0]]="B",1,0)</f>
        <v>0</v>
      </c>
      <c r="O9" s="14" t="s">
        <v>51</v>
      </c>
      <c r="P9" s="15">
        <v>14</v>
      </c>
      <c r="Q9" s="17" t="s">
        <v>71</v>
      </c>
      <c r="R9" s="16" t="s">
        <v>53</v>
      </c>
      <c r="S9" s="18" t="s">
        <v>75</v>
      </c>
      <c r="T9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9" s="19" t="s">
        <v>76</v>
      </c>
      <c r="V9" s="20" t="s">
        <v>7</v>
      </c>
      <c r="W9" s="20"/>
      <c r="X9" s="18"/>
      <c r="Y9" s="18">
        <f>IF(DataTable[[#This Row],[explanation1]]="BL",1,IF(DataTable[[#This Row],[explanation2]]="BL",1,IF(DataTable[[#This Row],[explanation1]]="BR",1,IF(DataTable[[#This Row],[explanation2]]="BR",1,0))))</f>
        <v>0</v>
      </c>
      <c r="Z9" s="18">
        <f>IF(DataTable[[#This Row],[explanation1]]="BL",1,IF(DataTable[[#This Row],[explanation2]]="BL",1,0))</f>
        <v>0</v>
      </c>
      <c r="AA9" s="18">
        <f>IF(DataTable[[#This Row],[explanation1]]="WJ",1,IF(DataTable[[#This Row],[explanation2]]="WJ",1,0))</f>
        <v>1</v>
      </c>
      <c r="AB9" s="18">
        <f>IF(DataTable[[#This Row],[explanation1]]="U",1,IF(DataTable[[#This Row],[explanation2]]="U",1,0))</f>
        <v>0</v>
      </c>
      <c r="AC9" s="18">
        <f>IF(DataTable[[#This Row],[explanation1]]="O",1,IF(DataTable[[#This Row],[explanation2]]="O",1,0))</f>
        <v>0</v>
      </c>
      <c r="AD9" s="18">
        <f>IF(DataTable[[#This Row],[explanation1]]="TP",1,IF(DataTable[[#This Row],[explanation2]]="TP",1,0))</f>
        <v>0</v>
      </c>
      <c r="AE9" s="18">
        <f>IF(DataTable[[#This Row],[explanation1]]="WP",1,IF(DataTable[[#This Row],[explanation2]]="WP",1,0))</f>
        <v>0</v>
      </c>
      <c r="AF9" s="18">
        <f>IF(DataTable[[#This Row],[explanation1]]="BR",1,IF(DataTable[[#This Row],[explanation2]]="BR",1,0))</f>
        <v>0</v>
      </c>
      <c r="AG9" s="18">
        <f>IF(DataTable[[#This Row],[explanation1]]="LS",1,IF(DataTable[[#This Row],[explanation2]]="LS",1,0))</f>
        <v>0</v>
      </c>
      <c r="AH9" s="20" t="s">
        <v>77</v>
      </c>
      <c r="AK9" t="s">
        <v>355</v>
      </c>
    </row>
    <row r="10" spans="1:37" x14ac:dyDescent="0.2">
      <c r="A10" s="22">
        <v>8</v>
      </c>
      <c r="B10" s="23" t="s">
        <v>57</v>
      </c>
      <c r="C10" s="24" t="s">
        <v>74</v>
      </c>
      <c r="D10" s="25">
        <v>50</v>
      </c>
      <c r="E10" s="23" t="s">
        <v>58</v>
      </c>
      <c r="F10" s="25">
        <v>25</v>
      </c>
      <c r="G10" s="23" t="s">
        <v>47</v>
      </c>
      <c r="H10" s="24" t="s">
        <v>48</v>
      </c>
      <c r="I10" s="25" t="str">
        <f t="shared" si="0"/>
        <v>R</v>
      </c>
      <c r="J10" s="23" t="s">
        <v>49</v>
      </c>
      <c r="K10" s="25" t="s">
        <v>78</v>
      </c>
      <c r="L10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10" s="24">
        <f>IF(DataTable[[#This Row],[3x head (H)/tail (T)?]]=DataTable[[#This Row],[then 4th: H/T/B/0]],1,0)</f>
        <v>0</v>
      </c>
      <c r="N10" s="24">
        <f>IF(DataTable[[#This Row],[then 4th: H/T/B/0]]="B",1,0)</f>
        <v>0</v>
      </c>
      <c r="O10" s="23" t="s">
        <v>51</v>
      </c>
      <c r="P10" s="24">
        <v>14</v>
      </c>
      <c r="Q10" s="26" t="s">
        <v>71</v>
      </c>
      <c r="R10" s="25" t="s">
        <v>53</v>
      </c>
      <c r="S10" s="27" t="s">
        <v>75</v>
      </c>
      <c r="T10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10" s="28" t="s">
        <v>76</v>
      </c>
      <c r="V10" s="29" t="s">
        <v>6</v>
      </c>
      <c r="W10" s="29"/>
      <c r="X10" s="27"/>
      <c r="Y10" s="27">
        <f>IF(DataTable[[#This Row],[explanation1]]="BL",1,IF(DataTable[[#This Row],[explanation2]]="BL",1,IF(DataTable[[#This Row],[explanation1]]="BR",1,IF(DataTable[[#This Row],[explanation2]]="BR",1,0))))</f>
        <v>1</v>
      </c>
      <c r="Z10" s="18">
        <f>IF(DataTable[[#This Row],[explanation1]]="BL",1,IF(DataTable[[#This Row],[explanation2]]="BL",1,0))</f>
        <v>1</v>
      </c>
      <c r="AA10" s="18">
        <f>IF(DataTable[[#This Row],[explanation1]]="WJ",1,IF(DataTable[[#This Row],[explanation2]]="WJ",1,0))</f>
        <v>0</v>
      </c>
      <c r="AB10" s="18">
        <f>IF(DataTable[[#This Row],[explanation1]]="U",1,IF(DataTable[[#This Row],[explanation2]]="U",1,0))</f>
        <v>0</v>
      </c>
      <c r="AC10" s="18">
        <f>IF(DataTable[[#This Row],[explanation1]]="O",1,IF(DataTable[[#This Row],[explanation2]]="O",1,0))</f>
        <v>0</v>
      </c>
      <c r="AD10" s="18">
        <f>IF(DataTable[[#This Row],[explanation1]]="TP",1,IF(DataTable[[#This Row],[explanation2]]="TP",1,0))</f>
        <v>0</v>
      </c>
      <c r="AE10" s="18">
        <f>IF(DataTable[[#This Row],[explanation1]]="WP",1,IF(DataTable[[#This Row],[explanation2]]="WP",1,0))</f>
        <v>0</v>
      </c>
      <c r="AF10" s="18">
        <f>IF(DataTable[[#This Row],[explanation1]]="BR",1,IF(DataTable[[#This Row],[explanation2]]="BR",1,0))</f>
        <v>0</v>
      </c>
      <c r="AG10" s="18">
        <f>IF(DataTable[[#This Row],[explanation1]]="LS",1,IF(DataTable[[#This Row],[explanation2]]="LS",1,0))</f>
        <v>0</v>
      </c>
      <c r="AH10" s="29" t="s">
        <v>79</v>
      </c>
      <c r="AK10" t="s">
        <v>356</v>
      </c>
    </row>
    <row r="11" spans="1:37" x14ac:dyDescent="0.2">
      <c r="A11" s="13">
        <v>9</v>
      </c>
      <c r="B11" s="14" t="s">
        <v>64</v>
      </c>
      <c r="C11" s="15" t="s">
        <v>74</v>
      </c>
      <c r="D11" s="16">
        <v>50</v>
      </c>
      <c r="E11" s="14" t="s">
        <v>46</v>
      </c>
      <c r="F11" s="16">
        <v>24</v>
      </c>
      <c r="G11" s="14" t="s">
        <v>47</v>
      </c>
      <c r="H11" s="15" t="s">
        <v>48</v>
      </c>
      <c r="I11" s="16" t="str">
        <f t="shared" si="0"/>
        <v>R</v>
      </c>
      <c r="J11" s="14" t="s">
        <v>49</v>
      </c>
      <c r="K11" s="16" t="s">
        <v>50</v>
      </c>
      <c r="L11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1" s="15">
        <f>IF(DataTable[[#This Row],[3x head (H)/tail (T)?]]=DataTable[[#This Row],[then 4th: H/T/B/0]],1,0)</f>
        <v>0</v>
      </c>
      <c r="N11" s="15">
        <f>IF(DataTable[[#This Row],[then 4th: H/T/B/0]]="B",1,0)</f>
        <v>1</v>
      </c>
      <c r="O11" s="14" t="s">
        <v>51</v>
      </c>
      <c r="P11" s="15">
        <v>14</v>
      </c>
      <c r="Q11" s="17" t="s">
        <v>71</v>
      </c>
      <c r="R11" s="16" t="s">
        <v>53</v>
      </c>
      <c r="S11" s="18" t="s">
        <v>75</v>
      </c>
      <c r="T11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11" s="19" t="s">
        <v>76</v>
      </c>
      <c r="V11" s="20" t="s">
        <v>9</v>
      </c>
      <c r="W11" s="20"/>
      <c r="X11" s="18"/>
      <c r="Y11" s="18">
        <f>IF(DataTable[[#This Row],[explanation1]]="BL",1,IF(DataTable[[#This Row],[explanation2]]="BL",1,IF(DataTable[[#This Row],[explanation1]]="BR",1,IF(DataTable[[#This Row],[explanation2]]="BR",1,0))))</f>
        <v>0</v>
      </c>
      <c r="Z11" s="18">
        <f>IF(DataTable[[#This Row],[explanation1]]="BL",1,IF(DataTable[[#This Row],[explanation2]]="BL",1,0))</f>
        <v>0</v>
      </c>
      <c r="AA11" s="18">
        <f>IF(DataTable[[#This Row],[explanation1]]="WJ",1,IF(DataTable[[#This Row],[explanation2]]="WJ",1,0))</f>
        <v>0</v>
      </c>
      <c r="AB11" s="18">
        <f>IF(DataTable[[#This Row],[explanation1]]="U",1,IF(DataTable[[#This Row],[explanation2]]="U",1,0))</f>
        <v>0</v>
      </c>
      <c r="AC11" s="18">
        <f>IF(DataTable[[#This Row],[explanation1]]="O",1,IF(DataTable[[#This Row],[explanation2]]="O",1,0))</f>
        <v>1</v>
      </c>
      <c r="AD11" s="18">
        <f>IF(DataTable[[#This Row],[explanation1]]="TP",1,IF(DataTable[[#This Row],[explanation2]]="TP",1,0))</f>
        <v>0</v>
      </c>
      <c r="AE11" s="18">
        <f>IF(DataTable[[#This Row],[explanation1]]="WP",1,IF(DataTable[[#This Row],[explanation2]]="WP",1,0))</f>
        <v>0</v>
      </c>
      <c r="AF11" s="18">
        <f>IF(DataTable[[#This Row],[explanation1]]="BR",1,IF(DataTable[[#This Row],[explanation2]]="BR",1,0))</f>
        <v>0</v>
      </c>
      <c r="AG11" s="18">
        <f>IF(DataTable[[#This Row],[explanation1]]="LS",1,IF(DataTable[[#This Row],[explanation2]]="LS",1,0))</f>
        <v>0</v>
      </c>
      <c r="AH11" s="20" t="s">
        <v>80</v>
      </c>
      <c r="AK11" t="s">
        <v>357</v>
      </c>
    </row>
    <row r="12" spans="1:37" x14ac:dyDescent="0.2">
      <c r="A12" s="22">
        <v>10</v>
      </c>
      <c r="B12" s="23" t="s">
        <v>60</v>
      </c>
      <c r="C12" s="24" t="s">
        <v>74</v>
      </c>
      <c r="D12" s="25">
        <v>50</v>
      </c>
      <c r="E12" s="23" t="s">
        <v>46</v>
      </c>
      <c r="F12" s="25">
        <v>24</v>
      </c>
      <c r="G12" s="23" t="s">
        <v>47</v>
      </c>
      <c r="H12" s="24" t="s">
        <v>81</v>
      </c>
      <c r="I12" s="25" t="str">
        <f t="shared" si="0"/>
        <v>L5</v>
      </c>
      <c r="J12" s="23" t="s">
        <v>49</v>
      </c>
      <c r="K12" s="25" t="s">
        <v>50</v>
      </c>
      <c r="L12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2" s="24">
        <f>IF(DataTable[[#This Row],[3x head (H)/tail (T)?]]=DataTable[[#This Row],[then 4th: H/T/B/0]],1,0)</f>
        <v>0</v>
      </c>
      <c r="N12" s="24">
        <f>IF(DataTable[[#This Row],[then 4th: H/T/B/0]]="B",1,0)</f>
        <v>1</v>
      </c>
      <c r="O12" s="23" t="s">
        <v>51</v>
      </c>
      <c r="P12" s="24">
        <v>14</v>
      </c>
      <c r="Q12" s="26" t="s">
        <v>71</v>
      </c>
      <c r="R12" s="25" t="s">
        <v>53</v>
      </c>
      <c r="S12" s="27" t="s">
        <v>65</v>
      </c>
      <c r="T12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12" s="28" t="s">
        <v>82</v>
      </c>
      <c r="V12" s="29" t="s">
        <v>12</v>
      </c>
      <c r="W12" s="29" t="s">
        <v>11</v>
      </c>
      <c r="X12" s="27"/>
      <c r="Y12" s="27">
        <f>IF(DataTable[[#This Row],[explanation1]]="BL",1,IF(DataTable[[#This Row],[explanation2]]="BL",1,IF(DataTable[[#This Row],[explanation1]]="BR",1,IF(DataTable[[#This Row],[explanation2]]="BR",1,0))))</f>
        <v>1</v>
      </c>
      <c r="Z12" s="18">
        <f>IF(DataTable[[#This Row],[explanation1]]="BL",1,IF(DataTable[[#This Row],[explanation2]]="BL",1,0))</f>
        <v>0</v>
      </c>
      <c r="AA12" s="18">
        <f>IF(DataTable[[#This Row],[explanation1]]="WJ",1,IF(DataTable[[#This Row],[explanation2]]="WJ",1,0))</f>
        <v>0</v>
      </c>
      <c r="AB12" s="18">
        <f>IF(DataTable[[#This Row],[explanation1]]="U",1,IF(DataTable[[#This Row],[explanation2]]="U",1,0))</f>
        <v>0</v>
      </c>
      <c r="AC12" s="18">
        <f>IF(DataTable[[#This Row],[explanation1]]="O",1,IF(DataTable[[#This Row],[explanation2]]="O",1,0))</f>
        <v>0</v>
      </c>
      <c r="AD12" s="18">
        <f>IF(DataTable[[#This Row],[explanation1]]="TP",1,IF(DataTable[[#This Row],[explanation2]]="TP",1,0))</f>
        <v>0</v>
      </c>
      <c r="AE12" s="18">
        <f>IF(DataTable[[#This Row],[explanation1]]="WP",1,IF(DataTable[[#This Row],[explanation2]]="WP",1,0))</f>
        <v>1</v>
      </c>
      <c r="AF12" s="18">
        <f>IF(DataTable[[#This Row],[explanation1]]="BR",1,IF(DataTable[[#This Row],[explanation2]]="BR",1,0))</f>
        <v>1</v>
      </c>
      <c r="AG12" s="18">
        <f>IF(DataTable[[#This Row],[explanation1]]="LS",1,IF(DataTable[[#This Row],[explanation2]]="LS",1,0))</f>
        <v>0</v>
      </c>
      <c r="AH12" s="29" t="s">
        <v>83</v>
      </c>
    </row>
    <row r="13" spans="1:37" x14ac:dyDescent="0.2">
      <c r="A13" s="13">
        <v>11</v>
      </c>
      <c r="B13" s="14" t="s">
        <v>68</v>
      </c>
      <c r="C13" s="15" t="s">
        <v>74</v>
      </c>
      <c r="D13" s="16">
        <v>50</v>
      </c>
      <c r="E13" s="14" t="s">
        <v>46</v>
      </c>
      <c r="F13" s="16">
        <v>26</v>
      </c>
      <c r="G13" s="14" t="s">
        <v>68</v>
      </c>
      <c r="H13" s="15" t="s">
        <v>81</v>
      </c>
      <c r="I13" s="16" t="str">
        <f t="shared" si="0"/>
        <v>R</v>
      </c>
      <c r="J13" s="14" t="s">
        <v>49</v>
      </c>
      <c r="K13" s="16" t="s">
        <v>50</v>
      </c>
      <c r="L13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3" s="15">
        <f>IF(DataTable[[#This Row],[3x head (H)/tail (T)?]]=DataTable[[#This Row],[then 4th: H/T/B/0]],1,0)</f>
        <v>0</v>
      </c>
      <c r="N13" s="15">
        <f>IF(DataTable[[#This Row],[then 4th: H/T/B/0]]="B",1,0)</f>
        <v>1</v>
      </c>
      <c r="O13" s="14" t="s">
        <v>51</v>
      </c>
      <c r="P13" s="15">
        <v>21</v>
      </c>
      <c r="Q13" s="17" t="s">
        <v>407</v>
      </c>
      <c r="R13" s="16" t="s">
        <v>53</v>
      </c>
      <c r="S13" s="18" t="s">
        <v>75</v>
      </c>
      <c r="T13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13" s="19" t="s">
        <v>76</v>
      </c>
      <c r="V13" s="20" t="s">
        <v>12</v>
      </c>
      <c r="W13" s="20"/>
      <c r="X13" s="18"/>
      <c r="Y13" s="18">
        <f>IF(DataTable[[#This Row],[explanation1]]="BL",1,IF(DataTable[[#This Row],[explanation2]]="BL",1,IF(DataTable[[#This Row],[explanation1]]="BR",1,IF(DataTable[[#This Row],[explanation2]]="BR",1,0))))</f>
        <v>1</v>
      </c>
      <c r="Z13" s="18">
        <f>IF(DataTable[[#This Row],[explanation1]]="BL",1,IF(DataTable[[#This Row],[explanation2]]="BL",1,0))</f>
        <v>0</v>
      </c>
      <c r="AA13" s="18">
        <f>IF(DataTable[[#This Row],[explanation1]]="WJ",1,IF(DataTable[[#This Row],[explanation2]]="WJ",1,0))</f>
        <v>0</v>
      </c>
      <c r="AB13" s="18">
        <f>IF(DataTable[[#This Row],[explanation1]]="U",1,IF(DataTable[[#This Row],[explanation2]]="U",1,0))</f>
        <v>0</v>
      </c>
      <c r="AC13" s="18">
        <f>IF(DataTable[[#This Row],[explanation1]]="O",1,IF(DataTable[[#This Row],[explanation2]]="O",1,0))</f>
        <v>0</v>
      </c>
      <c r="AD13" s="18">
        <f>IF(DataTable[[#This Row],[explanation1]]="TP",1,IF(DataTable[[#This Row],[explanation2]]="TP",1,0))</f>
        <v>0</v>
      </c>
      <c r="AE13" s="18">
        <f>IF(DataTable[[#This Row],[explanation1]]="WP",1,IF(DataTable[[#This Row],[explanation2]]="WP",1,0))</f>
        <v>0</v>
      </c>
      <c r="AF13" s="18">
        <f>IF(DataTable[[#This Row],[explanation1]]="BR",1,IF(DataTable[[#This Row],[explanation2]]="BR",1,0))</f>
        <v>1</v>
      </c>
      <c r="AG13" s="18">
        <f>IF(DataTable[[#This Row],[explanation1]]="LS",1,IF(DataTable[[#This Row],[explanation2]]="LS",1,0))</f>
        <v>0</v>
      </c>
      <c r="AH13" s="20" t="s">
        <v>85</v>
      </c>
    </row>
    <row r="14" spans="1:37" x14ac:dyDescent="0.2">
      <c r="A14" s="22">
        <v>12</v>
      </c>
      <c r="B14" s="23" t="s">
        <v>70</v>
      </c>
      <c r="C14" s="24" t="s">
        <v>74</v>
      </c>
      <c r="D14" s="25">
        <v>50</v>
      </c>
      <c r="E14" s="23" t="s">
        <v>46</v>
      </c>
      <c r="F14" s="25">
        <v>26</v>
      </c>
      <c r="G14" s="23" t="s">
        <v>47</v>
      </c>
      <c r="H14" s="24" t="s">
        <v>48</v>
      </c>
      <c r="I14" s="25" t="str">
        <f t="shared" si="0"/>
        <v>R</v>
      </c>
      <c r="J14" s="23" t="s">
        <v>49</v>
      </c>
      <c r="K14" s="25" t="s">
        <v>49</v>
      </c>
      <c r="L14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4" s="24">
        <f>IF(DataTable[[#This Row],[3x head (H)/tail (T)?]]=DataTable[[#This Row],[then 4th: H/T/B/0]],1,0)</f>
        <v>1</v>
      </c>
      <c r="N14" s="24">
        <f>IF(DataTable[[#This Row],[then 4th: H/T/B/0]]="B",1,0)</f>
        <v>0</v>
      </c>
      <c r="O14" s="23" t="s">
        <v>51</v>
      </c>
      <c r="P14" s="24">
        <v>21</v>
      </c>
      <c r="Q14" s="26" t="s">
        <v>407</v>
      </c>
      <c r="R14" s="25" t="s">
        <v>53</v>
      </c>
      <c r="S14" s="27" t="s">
        <v>65</v>
      </c>
      <c r="T14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14" s="28" t="s">
        <v>86</v>
      </c>
      <c r="V14" s="29" t="s">
        <v>6</v>
      </c>
      <c r="W14" s="29"/>
      <c r="X14" s="27"/>
      <c r="Y14" s="27">
        <f>IF(DataTable[[#This Row],[explanation1]]="BL",1,IF(DataTable[[#This Row],[explanation2]]="BL",1,IF(DataTable[[#This Row],[explanation1]]="BR",1,IF(DataTable[[#This Row],[explanation2]]="BR",1,0))))</f>
        <v>1</v>
      </c>
      <c r="Z14" s="18">
        <f>IF(DataTable[[#This Row],[explanation1]]="BL",1,IF(DataTable[[#This Row],[explanation2]]="BL",1,0))</f>
        <v>1</v>
      </c>
      <c r="AA14" s="18">
        <f>IF(DataTable[[#This Row],[explanation1]]="WJ",1,IF(DataTable[[#This Row],[explanation2]]="WJ",1,0))</f>
        <v>0</v>
      </c>
      <c r="AB14" s="18">
        <f>IF(DataTable[[#This Row],[explanation1]]="U",1,IF(DataTable[[#This Row],[explanation2]]="U",1,0))</f>
        <v>0</v>
      </c>
      <c r="AC14" s="18">
        <f>IF(DataTable[[#This Row],[explanation1]]="O",1,IF(DataTable[[#This Row],[explanation2]]="O",1,0))</f>
        <v>0</v>
      </c>
      <c r="AD14" s="18">
        <f>IF(DataTable[[#This Row],[explanation1]]="TP",1,IF(DataTable[[#This Row],[explanation2]]="TP",1,0))</f>
        <v>0</v>
      </c>
      <c r="AE14" s="18">
        <f>IF(DataTable[[#This Row],[explanation1]]="WP",1,IF(DataTable[[#This Row],[explanation2]]="WP",1,0))</f>
        <v>0</v>
      </c>
      <c r="AF14" s="18">
        <f>IF(DataTable[[#This Row],[explanation1]]="BR",1,IF(DataTable[[#This Row],[explanation2]]="BR",1,0))</f>
        <v>0</v>
      </c>
      <c r="AG14" s="18">
        <f>IF(DataTable[[#This Row],[explanation1]]="LS",1,IF(DataTable[[#This Row],[explanation2]]="LS",1,0))</f>
        <v>0</v>
      </c>
      <c r="AH14" s="29" t="s">
        <v>87</v>
      </c>
      <c r="AK14" s="41" t="s">
        <v>397</v>
      </c>
    </row>
    <row r="15" spans="1:37" x14ac:dyDescent="0.2">
      <c r="A15" s="13">
        <v>13</v>
      </c>
      <c r="B15" s="14" t="s">
        <v>44</v>
      </c>
      <c r="C15" s="15" t="s">
        <v>45</v>
      </c>
      <c r="D15" s="16">
        <v>1</v>
      </c>
      <c r="E15" s="14" t="s">
        <v>58</v>
      </c>
      <c r="F15" s="16">
        <v>26</v>
      </c>
      <c r="G15" s="14" t="s">
        <v>47</v>
      </c>
      <c r="H15" s="15" t="s">
        <v>81</v>
      </c>
      <c r="I15" s="16" t="str">
        <f t="shared" si="0"/>
        <v>L1</v>
      </c>
      <c r="J15" s="14" t="s">
        <v>78</v>
      </c>
      <c r="K15" s="16" t="s">
        <v>50</v>
      </c>
      <c r="L15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5" s="15">
        <f>IF(DataTable[[#This Row],[3x head (H)/tail (T)?]]=DataTable[[#This Row],[then 4th: H/T/B/0]],1,0)</f>
        <v>0</v>
      </c>
      <c r="N15" s="15">
        <f>IF(DataTable[[#This Row],[then 4th: H/T/B/0]]="B",1,0)</f>
        <v>1</v>
      </c>
      <c r="O15" s="14" t="s">
        <v>51</v>
      </c>
      <c r="P15" s="15">
        <v>14</v>
      </c>
      <c r="Q15" s="17" t="s">
        <v>71</v>
      </c>
      <c r="R15" s="16" t="s">
        <v>53</v>
      </c>
      <c r="S15" s="18" t="s">
        <v>54</v>
      </c>
      <c r="T15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15" s="19" t="s">
        <v>88</v>
      </c>
      <c r="V15" s="20" t="s">
        <v>6</v>
      </c>
      <c r="W15" s="20" t="s">
        <v>10</v>
      </c>
      <c r="X15" s="18"/>
      <c r="Y15" s="18">
        <f>IF(DataTable[[#This Row],[explanation1]]="BL",1,IF(DataTable[[#This Row],[explanation2]]="BL",1,IF(DataTable[[#This Row],[explanation1]]="BR",1,IF(DataTable[[#This Row],[explanation2]]="BR",1,0))))</f>
        <v>1</v>
      </c>
      <c r="Z15" s="18">
        <f>IF(DataTable[[#This Row],[explanation1]]="BL",1,IF(DataTable[[#This Row],[explanation2]]="BL",1,0))</f>
        <v>1</v>
      </c>
      <c r="AA15" s="18">
        <f>IF(DataTable[[#This Row],[explanation1]]="WJ",1,IF(DataTable[[#This Row],[explanation2]]="WJ",1,0))</f>
        <v>0</v>
      </c>
      <c r="AB15" s="18">
        <f>IF(DataTable[[#This Row],[explanation1]]="U",1,IF(DataTable[[#This Row],[explanation2]]="U",1,0))</f>
        <v>0</v>
      </c>
      <c r="AC15" s="18">
        <f>IF(DataTable[[#This Row],[explanation1]]="O",1,IF(DataTable[[#This Row],[explanation2]]="O",1,0))</f>
        <v>0</v>
      </c>
      <c r="AD15" s="18">
        <f>IF(DataTable[[#This Row],[explanation1]]="TP",1,IF(DataTable[[#This Row],[explanation2]]="TP",1,0))</f>
        <v>1</v>
      </c>
      <c r="AE15" s="18">
        <f>IF(DataTable[[#This Row],[explanation1]]="WP",1,IF(DataTable[[#This Row],[explanation2]]="WP",1,0))</f>
        <v>0</v>
      </c>
      <c r="AF15" s="18">
        <f>IF(DataTable[[#This Row],[explanation1]]="BR",1,IF(DataTable[[#This Row],[explanation2]]="BR",1,0))</f>
        <v>0</v>
      </c>
      <c r="AG15" s="18">
        <f>IF(DataTable[[#This Row],[explanation1]]="LS",1,IF(DataTable[[#This Row],[explanation2]]="LS",1,0))</f>
        <v>0</v>
      </c>
      <c r="AH15" s="20" t="s">
        <v>89</v>
      </c>
      <c r="AK15" t="s">
        <v>147</v>
      </c>
    </row>
    <row r="16" spans="1:37" x14ac:dyDescent="0.2">
      <c r="A16" s="22">
        <v>14</v>
      </c>
      <c r="B16" s="23" t="s">
        <v>57</v>
      </c>
      <c r="C16" s="24" t="s">
        <v>45</v>
      </c>
      <c r="D16" s="25">
        <v>1</v>
      </c>
      <c r="E16" s="23" t="s">
        <v>46</v>
      </c>
      <c r="F16" s="25">
        <v>25</v>
      </c>
      <c r="G16" s="23" t="s">
        <v>47</v>
      </c>
      <c r="H16" s="24" t="s">
        <v>48</v>
      </c>
      <c r="I16" s="25" t="str">
        <f t="shared" si="0"/>
        <v>R</v>
      </c>
      <c r="J16" s="23" t="s">
        <v>78</v>
      </c>
      <c r="K16" s="25" t="s">
        <v>50</v>
      </c>
      <c r="L16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6" s="24">
        <f>IF(DataTable[[#This Row],[3x head (H)/tail (T)?]]=DataTable[[#This Row],[then 4th: H/T/B/0]],1,0)</f>
        <v>0</v>
      </c>
      <c r="N16" s="24">
        <f>IF(DataTable[[#This Row],[then 4th: H/T/B/0]]="B",1,0)</f>
        <v>1</v>
      </c>
      <c r="O16" s="23" t="s">
        <v>51</v>
      </c>
      <c r="P16" s="24">
        <v>14</v>
      </c>
      <c r="Q16" s="26" t="s">
        <v>71</v>
      </c>
      <c r="R16" s="25" t="s">
        <v>53</v>
      </c>
      <c r="S16" s="27" t="s">
        <v>54</v>
      </c>
      <c r="T16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16" s="28" t="s">
        <v>90</v>
      </c>
      <c r="V16" s="29" t="s">
        <v>6</v>
      </c>
      <c r="W16" s="29"/>
      <c r="X16" s="27"/>
      <c r="Y16" s="27">
        <f>IF(DataTable[[#This Row],[explanation1]]="BL",1,IF(DataTable[[#This Row],[explanation2]]="BL",1,IF(DataTable[[#This Row],[explanation1]]="BR",1,IF(DataTable[[#This Row],[explanation2]]="BR",1,0))))</f>
        <v>1</v>
      </c>
      <c r="Z16" s="18">
        <f>IF(DataTable[[#This Row],[explanation1]]="BL",1,IF(DataTable[[#This Row],[explanation2]]="BL",1,0))</f>
        <v>1</v>
      </c>
      <c r="AA16" s="18">
        <f>IF(DataTable[[#This Row],[explanation1]]="WJ",1,IF(DataTable[[#This Row],[explanation2]]="WJ",1,0))</f>
        <v>0</v>
      </c>
      <c r="AB16" s="18">
        <f>IF(DataTable[[#This Row],[explanation1]]="U",1,IF(DataTable[[#This Row],[explanation2]]="U",1,0))</f>
        <v>0</v>
      </c>
      <c r="AC16" s="18">
        <f>IF(DataTable[[#This Row],[explanation1]]="O",1,IF(DataTable[[#This Row],[explanation2]]="O",1,0))</f>
        <v>0</v>
      </c>
      <c r="AD16" s="18">
        <f>IF(DataTable[[#This Row],[explanation1]]="TP",1,IF(DataTable[[#This Row],[explanation2]]="TP",1,0))</f>
        <v>0</v>
      </c>
      <c r="AE16" s="18">
        <f>IF(DataTable[[#This Row],[explanation1]]="WP",1,IF(DataTable[[#This Row],[explanation2]]="WP",1,0))</f>
        <v>0</v>
      </c>
      <c r="AF16" s="18">
        <f>IF(DataTable[[#This Row],[explanation1]]="BR",1,IF(DataTable[[#This Row],[explanation2]]="BR",1,0))</f>
        <v>0</v>
      </c>
      <c r="AG16" s="18">
        <f>IF(DataTable[[#This Row],[explanation1]]="LS",1,IF(DataTable[[#This Row],[explanation2]]="LS",1,0))</f>
        <v>0</v>
      </c>
      <c r="AH16" s="29" t="s">
        <v>91</v>
      </c>
      <c r="AK16" t="s">
        <v>152</v>
      </c>
    </row>
    <row r="17" spans="1:37" x14ac:dyDescent="0.2">
      <c r="A17" s="13">
        <v>15</v>
      </c>
      <c r="B17" s="14" t="s">
        <v>64</v>
      </c>
      <c r="C17" s="15" t="s">
        <v>45</v>
      </c>
      <c r="D17" s="16">
        <v>1</v>
      </c>
      <c r="E17" s="14" t="s">
        <v>46</v>
      </c>
      <c r="F17" s="16">
        <v>30</v>
      </c>
      <c r="G17" s="14" t="s">
        <v>47</v>
      </c>
      <c r="H17" s="15" t="s">
        <v>81</v>
      </c>
      <c r="I17" s="16" t="str">
        <f t="shared" si="0"/>
        <v>M1</v>
      </c>
      <c r="J17" s="14" t="s">
        <v>78</v>
      </c>
      <c r="K17" s="16" t="s">
        <v>50</v>
      </c>
      <c r="L17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7" s="15">
        <f>IF(DataTable[[#This Row],[3x head (H)/tail (T)?]]=DataTable[[#This Row],[then 4th: H/T/B/0]],1,0)</f>
        <v>0</v>
      </c>
      <c r="N17" s="15">
        <f>IF(DataTable[[#This Row],[then 4th: H/T/B/0]]="B",1,0)</f>
        <v>1</v>
      </c>
      <c r="O17" s="14" t="s">
        <v>51</v>
      </c>
      <c r="P17" s="15">
        <v>21</v>
      </c>
      <c r="Q17" s="17" t="s">
        <v>407</v>
      </c>
      <c r="R17" s="16" t="s">
        <v>53</v>
      </c>
      <c r="S17" s="31" t="s">
        <v>54</v>
      </c>
      <c r="T17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17" s="19" t="s">
        <v>92</v>
      </c>
      <c r="V17" s="20" t="s">
        <v>12</v>
      </c>
      <c r="W17" s="20"/>
      <c r="X17" s="18"/>
      <c r="Y17" s="18">
        <f>IF(DataTable[[#This Row],[explanation1]]="BL",1,IF(DataTable[[#This Row],[explanation2]]="BL",1,IF(DataTable[[#This Row],[explanation1]]="BR",1,IF(DataTable[[#This Row],[explanation2]]="BR",1,0))))</f>
        <v>1</v>
      </c>
      <c r="Z17" s="18">
        <f>IF(DataTable[[#This Row],[explanation1]]="BL",1,IF(DataTable[[#This Row],[explanation2]]="BL",1,0))</f>
        <v>0</v>
      </c>
      <c r="AA17" s="18">
        <f>IF(DataTable[[#This Row],[explanation1]]="WJ",1,IF(DataTable[[#This Row],[explanation2]]="WJ",1,0))</f>
        <v>0</v>
      </c>
      <c r="AB17" s="18">
        <f>IF(DataTable[[#This Row],[explanation1]]="U",1,IF(DataTable[[#This Row],[explanation2]]="U",1,0))</f>
        <v>0</v>
      </c>
      <c r="AC17" s="18">
        <f>IF(DataTable[[#This Row],[explanation1]]="O",1,IF(DataTable[[#This Row],[explanation2]]="O",1,0))</f>
        <v>0</v>
      </c>
      <c r="AD17" s="18">
        <f>IF(DataTable[[#This Row],[explanation1]]="TP",1,IF(DataTable[[#This Row],[explanation2]]="TP",1,0))</f>
        <v>0</v>
      </c>
      <c r="AE17" s="18">
        <f>IF(DataTable[[#This Row],[explanation1]]="WP",1,IF(DataTable[[#This Row],[explanation2]]="WP",1,0))</f>
        <v>0</v>
      </c>
      <c r="AF17" s="18">
        <f>IF(DataTable[[#This Row],[explanation1]]="BR",1,IF(DataTable[[#This Row],[explanation2]]="BR",1,0))</f>
        <v>1</v>
      </c>
      <c r="AG17" s="18">
        <f>IF(DataTable[[#This Row],[explanation1]]="LS",1,IF(DataTable[[#This Row],[explanation2]]="LS",1,0))</f>
        <v>0</v>
      </c>
      <c r="AH17" s="20" t="s">
        <v>93</v>
      </c>
      <c r="AK17" t="s">
        <v>172</v>
      </c>
    </row>
    <row r="18" spans="1:37" x14ac:dyDescent="0.2">
      <c r="A18" s="22">
        <v>16</v>
      </c>
      <c r="B18" s="23" t="s">
        <v>68</v>
      </c>
      <c r="C18" s="24" t="s">
        <v>45</v>
      </c>
      <c r="D18" s="25">
        <v>1</v>
      </c>
      <c r="E18" s="23" t="s">
        <v>46</v>
      </c>
      <c r="F18" s="25">
        <v>24</v>
      </c>
      <c r="G18" s="23" t="s">
        <v>68</v>
      </c>
      <c r="H18" s="24" t="s">
        <v>81</v>
      </c>
      <c r="I18" s="25" t="str">
        <f t="shared" si="0"/>
        <v>R</v>
      </c>
      <c r="J18" s="23" t="s">
        <v>78</v>
      </c>
      <c r="K18" s="25" t="s">
        <v>50</v>
      </c>
      <c r="L18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8" s="24">
        <f>IF(DataTable[[#This Row],[3x head (H)/tail (T)?]]=DataTable[[#This Row],[then 4th: H/T/B/0]],1,0)</f>
        <v>0</v>
      </c>
      <c r="N18" s="24">
        <f>IF(DataTable[[#This Row],[then 4th: H/T/B/0]]="B",1,0)</f>
        <v>1</v>
      </c>
      <c r="O18" s="23" t="s">
        <v>51</v>
      </c>
      <c r="P18" s="24">
        <v>21</v>
      </c>
      <c r="Q18" s="26" t="s">
        <v>407</v>
      </c>
      <c r="R18" s="25" t="s">
        <v>53</v>
      </c>
      <c r="S18" s="27" t="s">
        <v>75</v>
      </c>
      <c r="T18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18" s="28" t="s">
        <v>76</v>
      </c>
      <c r="V18" s="29" t="s">
        <v>7</v>
      </c>
      <c r="W18" s="29"/>
      <c r="X18" s="27"/>
      <c r="Y18" s="27">
        <f>IF(DataTable[[#This Row],[explanation1]]="BL",1,IF(DataTable[[#This Row],[explanation2]]="BL",1,IF(DataTable[[#This Row],[explanation1]]="BR",1,IF(DataTable[[#This Row],[explanation2]]="BR",1,0))))</f>
        <v>0</v>
      </c>
      <c r="Z18" s="18">
        <f>IF(DataTable[[#This Row],[explanation1]]="BL",1,IF(DataTable[[#This Row],[explanation2]]="BL",1,0))</f>
        <v>0</v>
      </c>
      <c r="AA18" s="18">
        <f>IF(DataTable[[#This Row],[explanation1]]="WJ",1,IF(DataTable[[#This Row],[explanation2]]="WJ",1,0))</f>
        <v>1</v>
      </c>
      <c r="AB18" s="18">
        <f>IF(DataTable[[#This Row],[explanation1]]="U",1,IF(DataTable[[#This Row],[explanation2]]="U",1,0))</f>
        <v>0</v>
      </c>
      <c r="AC18" s="18">
        <f>IF(DataTable[[#This Row],[explanation1]]="O",1,IF(DataTable[[#This Row],[explanation2]]="O",1,0))</f>
        <v>0</v>
      </c>
      <c r="AD18" s="18">
        <f>IF(DataTable[[#This Row],[explanation1]]="TP",1,IF(DataTable[[#This Row],[explanation2]]="TP",1,0))</f>
        <v>0</v>
      </c>
      <c r="AE18" s="18">
        <f>IF(DataTable[[#This Row],[explanation1]]="WP",1,IF(DataTable[[#This Row],[explanation2]]="WP",1,0))</f>
        <v>0</v>
      </c>
      <c r="AF18" s="18">
        <f>IF(DataTable[[#This Row],[explanation1]]="BR",1,IF(DataTable[[#This Row],[explanation2]]="BR",1,0))</f>
        <v>0</v>
      </c>
      <c r="AG18" s="18">
        <f>IF(DataTable[[#This Row],[explanation1]]="LS",1,IF(DataTable[[#This Row],[explanation2]]="LS",1,0))</f>
        <v>0</v>
      </c>
      <c r="AH18" s="29" t="s">
        <v>94</v>
      </c>
      <c r="AK18" t="s">
        <v>178</v>
      </c>
    </row>
    <row r="19" spans="1:37" x14ac:dyDescent="0.2">
      <c r="A19" s="13">
        <v>17</v>
      </c>
      <c r="B19" s="14" t="s">
        <v>70</v>
      </c>
      <c r="C19" s="15" t="s">
        <v>45</v>
      </c>
      <c r="D19" s="16">
        <v>1</v>
      </c>
      <c r="E19" s="14" t="s">
        <v>46</v>
      </c>
      <c r="F19" s="16">
        <v>22</v>
      </c>
      <c r="G19" s="14" t="s">
        <v>70</v>
      </c>
      <c r="H19" s="15" t="s">
        <v>48</v>
      </c>
      <c r="I19" s="16" t="str">
        <f t="shared" si="0"/>
        <v>M5</v>
      </c>
      <c r="J19" s="14" t="s">
        <v>78</v>
      </c>
      <c r="K19" s="16" t="s">
        <v>50</v>
      </c>
      <c r="L19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9" s="15">
        <f>IF(DataTable[[#This Row],[3x head (H)/tail (T)?]]=DataTable[[#This Row],[then 4th: H/T/B/0]],1,0)</f>
        <v>0</v>
      </c>
      <c r="N19" s="15">
        <f>IF(DataTable[[#This Row],[then 4th: H/T/B/0]]="B",1,0)</f>
        <v>1</v>
      </c>
      <c r="O19" s="14" t="s">
        <v>51</v>
      </c>
      <c r="P19" s="15">
        <v>21</v>
      </c>
      <c r="Q19" s="17" t="s">
        <v>407</v>
      </c>
      <c r="R19" s="16" t="s">
        <v>53</v>
      </c>
      <c r="S19" s="18" t="s">
        <v>65</v>
      </c>
      <c r="T19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19" s="19" t="s">
        <v>95</v>
      </c>
      <c r="V19" s="20" t="s">
        <v>7</v>
      </c>
      <c r="W19" s="20"/>
      <c r="X19" s="18"/>
      <c r="Y19" s="18">
        <f>IF(DataTable[[#This Row],[explanation1]]="BL",1,IF(DataTable[[#This Row],[explanation2]]="BL",1,IF(DataTable[[#This Row],[explanation1]]="BR",1,IF(DataTable[[#This Row],[explanation2]]="BR",1,0))))</f>
        <v>0</v>
      </c>
      <c r="Z19" s="18">
        <f>IF(DataTable[[#This Row],[explanation1]]="BL",1,IF(DataTable[[#This Row],[explanation2]]="BL",1,0))</f>
        <v>0</v>
      </c>
      <c r="AA19" s="18">
        <f>IF(DataTable[[#This Row],[explanation1]]="WJ",1,IF(DataTable[[#This Row],[explanation2]]="WJ",1,0))</f>
        <v>1</v>
      </c>
      <c r="AB19" s="18">
        <f>IF(DataTable[[#This Row],[explanation1]]="U",1,IF(DataTable[[#This Row],[explanation2]]="U",1,0))</f>
        <v>0</v>
      </c>
      <c r="AC19" s="18">
        <f>IF(DataTable[[#This Row],[explanation1]]="O",1,IF(DataTable[[#This Row],[explanation2]]="O",1,0))</f>
        <v>0</v>
      </c>
      <c r="AD19" s="18">
        <f>IF(DataTable[[#This Row],[explanation1]]="TP",1,IF(DataTable[[#This Row],[explanation2]]="TP",1,0))</f>
        <v>0</v>
      </c>
      <c r="AE19" s="18">
        <f>IF(DataTable[[#This Row],[explanation1]]="WP",1,IF(DataTable[[#This Row],[explanation2]]="WP",1,0))</f>
        <v>0</v>
      </c>
      <c r="AF19" s="18">
        <f>IF(DataTable[[#This Row],[explanation1]]="BR",1,IF(DataTable[[#This Row],[explanation2]]="BR",1,0))</f>
        <v>0</v>
      </c>
      <c r="AG19" s="18">
        <f>IF(DataTable[[#This Row],[explanation1]]="LS",1,IF(DataTable[[#This Row],[explanation2]]="LS",1,0))</f>
        <v>0</v>
      </c>
      <c r="AH19" s="20" t="s">
        <v>96</v>
      </c>
      <c r="AK19" t="s">
        <v>358</v>
      </c>
    </row>
    <row r="20" spans="1:37" x14ac:dyDescent="0.2">
      <c r="A20" s="22">
        <v>18</v>
      </c>
      <c r="B20" s="23" t="s">
        <v>57</v>
      </c>
      <c r="C20" s="24" t="s">
        <v>74</v>
      </c>
      <c r="D20" s="25">
        <v>1</v>
      </c>
      <c r="E20" s="23" t="s">
        <v>46</v>
      </c>
      <c r="F20" s="25">
        <v>21</v>
      </c>
      <c r="G20" s="23" t="s">
        <v>47</v>
      </c>
      <c r="H20" s="24" t="s">
        <v>81</v>
      </c>
      <c r="I20" s="25" t="str">
        <f t="shared" si="0"/>
        <v>H1</v>
      </c>
      <c r="J20" s="23" t="s">
        <v>78</v>
      </c>
      <c r="K20" s="25" t="s">
        <v>50</v>
      </c>
      <c r="L20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0" s="24">
        <f>IF(DataTable[[#This Row],[3x head (H)/tail (T)?]]=DataTable[[#This Row],[then 4th: H/T/B/0]],1,0)</f>
        <v>0</v>
      </c>
      <c r="N20" s="24">
        <f>IF(DataTable[[#This Row],[then 4th: H/T/B/0]]="B",1,0)</f>
        <v>1</v>
      </c>
      <c r="O20" s="23" t="s">
        <v>51</v>
      </c>
      <c r="P20" s="24">
        <v>21</v>
      </c>
      <c r="Q20" s="26" t="s">
        <v>407</v>
      </c>
      <c r="R20" s="25" t="s">
        <v>53</v>
      </c>
      <c r="S20" s="27" t="s">
        <v>65</v>
      </c>
      <c r="T20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20" s="28" t="s">
        <v>95</v>
      </c>
      <c r="V20" s="29" t="s">
        <v>6</v>
      </c>
      <c r="W20" s="29"/>
      <c r="X20" s="27"/>
      <c r="Y20" s="27">
        <f>IF(DataTable[[#This Row],[explanation1]]="BL",1,IF(DataTable[[#This Row],[explanation2]]="BL",1,IF(DataTable[[#This Row],[explanation1]]="BR",1,IF(DataTable[[#This Row],[explanation2]]="BR",1,0))))</f>
        <v>1</v>
      </c>
      <c r="Z20" s="18">
        <f>IF(DataTable[[#This Row],[explanation1]]="BL",1,IF(DataTable[[#This Row],[explanation2]]="BL",1,0))</f>
        <v>1</v>
      </c>
      <c r="AA20" s="18">
        <f>IF(DataTable[[#This Row],[explanation1]]="WJ",1,IF(DataTable[[#This Row],[explanation2]]="WJ",1,0))</f>
        <v>0</v>
      </c>
      <c r="AB20" s="18">
        <f>IF(DataTable[[#This Row],[explanation1]]="U",1,IF(DataTable[[#This Row],[explanation2]]="U",1,0))</f>
        <v>0</v>
      </c>
      <c r="AC20" s="18">
        <f>IF(DataTable[[#This Row],[explanation1]]="O",1,IF(DataTable[[#This Row],[explanation2]]="O",1,0))</f>
        <v>0</v>
      </c>
      <c r="AD20" s="18">
        <f>IF(DataTable[[#This Row],[explanation1]]="TP",1,IF(DataTable[[#This Row],[explanation2]]="TP",1,0))</f>
        <v>0</v>
      </c>
      <c r="AE20" s="18">
        <f>IF(DataTable[[#This Row],[explanation1]]="WP",1,IF(DataTable[[#This Row],[explanation2]]="WP",1,0))</f>
        <v>0</v>
      </c>
      <c r="AF20" s="18">
        <f>IF(DataTable[[#This Row],[explanation1]]="BR",1,IF(DataTable[[#This Row],[explanation2]]="BR",1,0))</f>
        <v>0</v>
      </c>
      <c r="AG20" s="18">
        <f>IF(DataTable[[#This Row],[explanation1]]="LS",1,IF(DataTable[[#This Row],[explanation2]]="LS",1,0))</f>
        <v>0</v>
      </c>
      <c r="AH20" s="29" t="s">
        <v>97</v>
      </c>
    </row>
    <row r="21" spans="1:37" x14ac:dyDescent="0.2">
      <c r="A21" s="13">
        <v>19</v>
      </c>
      <c r="B21" s="14" t="s">
        <v>68</v>
      </c>
      <c r="C21" s="15" t="s">
        <v>74</v>
      </c>
      <c r="D21" s="16">
        <v>1</v>
      </c>
      <c r="E21" s="14" t="s">
        <v>46</v>
      </c>
      <c r="F21" s="16">
        <v>23</v>
      </c>
      <c r="G21" s="14" t="s">
        <v>68</v>
      </c>
      <c r="H21" s="15" t="s">
        <v>48</v>
      </c>
      <c r="I21" s="16" t="str">
        <f t="shared" si="0"/>
        <v>H5</v>
      </c>
      <c r="J21" s="14" t="s">
        <v>78</v>
      </c>
      <c r="K21" s="16" t="s">
        <v>78</v>
      </c>
      <c r="L21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1" s="15">
        <f>IF(DataTable[[#This Row],[3x head (H)/tail (T)?]]=DataTable[[#This Row],[then 4th: H/T/B/0]],1,0)</f>
        <v>1</v>
      </c>
      <c r="N21" s="15">
        <f>IF(DataTable[[#This Row],[then 4th: H/T/B/0]]="B",1,0)</f>
        <v>0</v>
      </c>
      <c r="O21" s="14" t="s">
        <v>51</v>
      </c>
      <c r="P21" s="15">
        <v>21</v>
      </c>
      <c r="Q21" s="17" t="s">
        <v>407</v>
      </c>
      <c r="R21" s="16" t="s">
        <v>53</v>
      </c>
      <c r="S21" s="18" t="s">
        <v>75</v>
      </c>
      <c r="T21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21" s="19" t="s">
        <v>76</v>
      </c>
      <c r="V21" s="20" t="s">
        <v>8</v>
      </c>
      <c r="W21" s="20"/>
      <c r="X21" s="18"/>
      <c r="Y21" s="18">
        <f>IF(DataTable[[#This Row],[explanation1]]="BL",1,IF(DataTable[[#This Row],[explanation2]]="BL",1,IF(DataTable[[#This Row],[explanation1]]="BR",1,IF(DataTable[[#This Row],[explanation2]]="BR",1,0))))</f>
        <v>0</v>
      </c>
      <c r="Z21" s="18">
        <f>IF(DataTable[[#This Row],[explanation1]]="BL",1,IF(DataTable[[#This Row],[explanation2]]="BL",1,0))</f>
        <v>0</v>
      </c>
      <c r="AA21" s="18">
        <f>IF(DataTable[[#This Row],[explanation1]]="WJ",1,IF(DataTable[[#This Row],[explanation2]]="WJ",1,0))</f>
        <v>0</v>
      </c>
      <c r="AB21" s="18">
        <f>IF(DataTable[[#This Row],[explanation1]]="U",1,IF(DataTable[[#This Row],[explanation2]]="U",1,0))</f>
        <v>1</v>
      </c>
      <c r="AC21" s="18">
        <f>IF(DataTable[[#This Row],[explanation1]]="O",1,IF(DataTable[[#This Row],[explanation2]]="O",1,0))</f>
        <v>0</v>
      </c>
      <c r="AD21" s="18">
        <f>IF(DataTable[[#This Row],[explanation1]]="TP",1,IF(DataTable[[#This Row],[explanation2]]="TP",1,0))</f>
        <v>0</v>
      </c>
      <c r="AE21" s="18">
        <f>IF(DataTable[[#This Row],[explanation1]]="WP",1,IF(DataTable[[#This Row],[explanation2]]="WP",1,0))</f>
        <v>0</v>
      </c>
      <c r="AF21" s="18">
        <f>IF(DataTable[[#This Row],[explanation1]]="BR",1,IF(DataTable[[#This Row],[explanation2]]="BR",1,0))</f>
        <v>0</v>
      </c>
      <c r="AG21" s="18">
        <f>IF(DataTable[[#This Row],[explanation1]]="LS",1,IF(DataTable[[#This Row],[explanation2]]="LS",1,0))</f>
        <v>0</v>
      </c>
      <c r="AH21" s="20" t="s">
        <v>98</v>
      </c>
    </row>
    <row r="22" spans="1:37" x14ac:dyDescent="0.2">
      <c r="A22" s="22">
        <v>20</v>
      </c>
      <c r="B22" s="23" t="s">
        <v>44</v>
      </c>
      <c r="C22" s="24" t="s">
        <v>45</v>
      </c>
      <c r="D22" s="25">
        <v>1</v>
      </c>
      <c r="E22" s="23" t="s">
        <v>58</v>
      </c>
      <c r="F22" s="25">
        <v>25</v>
      </c>
      <c r="G22" s="23" t="s">
        <v>47</v>
      </c>
      <c r="H22" s="24" t="s">
        <v>81</v>
      </c>
      <c r="I22" s="25" t="str">
        <f t="shared" si="0"/>
        <v>L1</v>
      </c>
      <c r="J22" s="23" t="s">
        <v>78</v>
      </c>
      <c r="K22" s="25" t="s">
        <v>50</v>
      </c>
      <c r="L22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2" s="24">
        <f>IF(DataTable[[#This Row],[3x head (H)/tail (T)?]]=DataTable[[#This Row],[then 4th: H/T/B/0]],1,0)</f>
        <v>0</v>
      </c>
      <c r="N22" s="24">
        <f>IF(DataTable[[#This Row],[then 4th: H/T/B/0]]="B",1,0)</f>
        <v>1</v>
      </c>
      <c r="O22" s="23" t="s">
        <v>51</v>
      </c>
      <c r="P22" s="24">
        <v>21</v>
      </c>
      <c r="Q22" s="26" t="s">
        <v>407</v>
      </c>
      <c r="R22" s="25" t="s">
        <v>53</v>
      </c>
      <c r="S22" s="27" t="s">
        <v>65</v>
      </c>
      <c r="T22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22" s="28" t="s">
        <v>95</v>
      </c>
      <c r="V22" s="29" t="s">
        <v>6</v>
      </c>
      <c r="W22" s="29"/>
      <c r="X22" s="27"/>
      <c r="Y22" s="27">
        <f>IF(DataTable[[#This Row],[explanation1]]="BL",1,IF(DataTable[[#This Row],[explanation2]]="BL",1,IF(DataTable[[#This Row],[explanation1]]="BR",1,IF(DataTable[[#This Row],[explanation2]]="BR",1,0))))</f>
        <v>1</v>
      </c>
      <c r="Z22" s="18">
        <f>IF(DataTable[[#This Row],[explanation1]]="BL",1,IF(DataTable[[#This Row],[explanation2]]="BL",1,0))</f>
        <v>1</v>
      </c>
      <c r="AA22" s="18">
        <f>IF(DataTable[[#This Row],[explanation1]]="WJ",1,IF(DataTable[[#This Row],[explanation2]]="WJ",1,0))</f>
        <v>0</v>
      </c>
      <c r="AB22" s="18">
        <f>IF(DataTable[[#This Row],[explanation1]]="U",1,IF(DataTable[[#This Row],[explanation2]]="U",1,0))</f>
        <v>0</v>
      </c>
      <c r="AC22" s="18">
        <f>IF(DataTable[[#This Row],[explanation1]]="O",1,IF(DataTable[[#This Row],[explanation2]]="O",1,0))</f>
        <v>0</v>
      </c>
      <c r="AD22" s="18">
        <f>IF(DataTable[[#This Row],[explanation1]]="TP",1,IF(DataTable[[#This Row],[explanation2]]="TP",1,0))</f>
        <v>0</v>
      </c>
      <c r="AE22" s="18">
        <f>IF(DataTable[[#This Row],[explanation1]]="WP",1,IF(DataTable[[#This Row],[explanation2]]="WP",1,0))</f>
        <v>0</v>
      </c>
      <c r="AF22" s="18">
        <f>IF(DataTable[[#This Row],[explanation1]]="BR",1,IF(DataTable[[#This Row],[explanation2]]="BR",1,0))</f>
        <v>0</v>
      </c>
      <c r="AG22" s="18">
        <f>IF(DataTable[[#This Row],[explanation1]]="LS",1,IF(DataTable[[#This Row],[explanation2]]="LS",1,0))</f>
        <v>0</v>
      </c>
      <c r="AH22" s="29" t="s">
        <v>99</v>
      </c>
    </row>
    <row r="23" spans="1:37" x14ac:dyDescent="0.2">
      <c r="A23" s="13">
        <v>21</v>
      </c>
      <c r="B23" s="14" t="s">
        <v>60</v>
      </c>
      <c r="C23" s="15" t="s">
        <v>45</v>
      </c>
      <c r="D23" s="16">
        <v>1</v>
      </c>
      <c r="E23" s="14" t="s">
        <v>58</v>
      </c>
      <c r="F23" s="16">
        <v>24</v>
      </c>
      <c r="G23" s="14" t="s">
        <v>47</v>
      </c>
      <c r="H23" s="15" t="s">
        <v>48</v>
      </c>
      <c r="I23" s="16" t="str">
        <f t="shared" si="0"/>
        <v>R</v>
      </c>
      <c r="J23" s="14" t="s">
        <v>49</v>
      </c>
      <c r="K23" s="16" t="s">
        <v>50</v>
      </c>
      <c r="L23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3" s="15">
        <f>IF(DataTable[[#This Row],[3x head (H)/tail (T)?]]=DataTable[[#This Row],[then 4th: H/T/B/0]],1,0)</f>
        <v>0</v>
      </c>
      <c r="N23" s="15">
        <f>IF(DataTable[[#This Row],[then 4th: H/T/B/0]]="B",1,0)</f>
        <v>1</v>
      </c>
      <c r="O23" s="14" t="s">
        <v>51</v>
      </c>
      <c r="P23" s="15">
        <v>21</v>
      </c>
      <c r="Q23" s="17" t="s">
        <v>407</v>
      </c>
      <c r="R23" s="16" t="s">
        <v>53</v>
      </c>
      <c r="S23" s="18" t="s">
        <v>54</v>
      </c>
      <c r="T23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23" s="19" t="s">
        <v>100</v>
      </c>
      <c r="V23" s="20" t="s">
        <v>6</v>
      </c>
      <c r="W23" s="20"/>
      <c r="X23" s="18"/>
      <c r="Y23" s="18">
        <f>IF(DataTable[[#This Row],[explanation1]]="BL",1,IF(DataTable[[#This Row],[explanation2]]="BL",1,IF(DataTable[[#This Row],[explanation1]]="BR",1,IF(DataTable[[#This Row],[explanation2]]="BR",1,0))))</f>
        <v>1</v>
      </c>
      <c r="Z23" s="18">
        <f>IF(DataTable[[#This Row],[explanation1]]="BL",1,IF(DataTable[[#This Row],[explanation2]]="BL",1,0))</f>
        <v>1</v>
      </c>
      <c r="AA23" s="18">
        <f>IF(DataTable[[#This Row],[explanation1]]="WJ",1,IF(DataTable[[#This Row],[explanation2]]="WJ",1,0))</f>
        <v>0</v>
      </c>
      <c r="AB23" s="18">
        <f>IF(DataTable[[#This Row],[explanation1]]="U",1,IF(DataTable[[#This Row],[explanation2]]="U",1,0))</f>
        <v>0</v>
      </c>
      <c r="AC23" s="18">
        <f>IF(DataTable[[#This Row],[explanation1]]="O",1,IF(DataTable[[#This Row],[explanation2]]="O",1,0))</f>
        <v>0</v>
      </c>
      <c r="AD23" s="18">
        <f>IF(DataTable[[#This Row],[explanation1]]="TP",1,IF(DataTable[[#This Row],[explanation2]]="TP",1,0))</f>
        <v>0</v>
      </c>
      <c r="AE23" s="18">
        <f>IF(DataTable[[#This Row],[explanation1]]="WP",1,IF(DataTable[[#This Row],[explanation2]]="WP",1,0))</f>
        <v>0</v>
      </c>
      <c r="AF23" s="18">
        <f>IF(DataTable[[#This Row],[explanation1]]="BR",1,IF(DataTable[[#This Row],[explanation2]]="BR",1,0))</f>
        <v>0</v>
      </c>
      <c r="AG23" s="18">
        <f>IF(DataTable[[#This Row],[explanation1]]="LS",1,IF(DataTable[[#This Row],[explanation2]]="LS",1,0))</f>
        <v>0</v>
      </c>
      <c r="AH23" s="20" t="s">
        <v>67</v>
      </c>
    </row>
    <row r="24" spans="1:37" x14ac:dyDescent="0.2">
      <c r="A24" s="22">
        <v>22</v>
      </c>
      <c r="B24" s="23" t="s">
        <v>60</v>
      </c>
      <c r="C24" s="24" t="s">
        <v>45</v>
      </c>
      <c r="D24" s="25">
        <v>50</v>
      </c>
      <c r="E24" s="23" t="s">
        <v>58</v>
      </c>
      <c r="F24" s="25">
        <v>26</v>
      </c>
      <c r="G24" s="23" t="s">
        <v>47</v>
      </c>
      <c r="H24" s="24" t="s">
        <v>48</v>
      </c>
      <c r="I24" s="25" t="str">
        <f t="shared" si="0"/>
        <v>R</v>
      </c>
      <c r="J24" s="23" t="s">
        <v>49</v>
      </c>
      <c r="K24" s="25" t="s">
        <v>50</v>
      </c>
      <c r="L24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4" s="24">
        <f>IF(DataTable[[#This Row],[3x head (H)/tail (T)?]]=DataTable[[#This Row],[then 4th: H/T/B/0]],1,0)</f>
        <v>0</v>
      </c>
      <c r="N24" s="24">
        <f>IF(DataTable[[#This Row],[then 4th: H/T/B/0]]="B",1,0)</f>
        <v>1</v>
      </c>
      <c r="O24" s="23" t="s">
        <v>51</v>
      </c>
      <c r="P24" s="24">
        <v>21</v>
      </c>
      <c r="Q24" s="26" t="s">
        <v>407</v>
      </c>
      <c r="R24" s="25" t="s">
        <v>53</v>
      </c>
      <c r="S24" s="27" t="s">
        <v>75</v>
      </c>
      <c r="T24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24" s="28" t="s">
        <v>76</v>
      </c>
      <c r="V24" s="29" t="s">
        <v>6</v>
      </c>
      <c r="W24" s="29"/>
      <c r="X24" s="27"/>
      <c r="Y24" s="27">
        <f>IF(DataTable[[#This Row],[explanation1]]="BL",1,IF(DataTable[[#This Row],[explanation2]]="BL",1,IF(DataTable[[#This Row],[explanation1]]="BR",1,IF(DataTable[[#This Row],[explanation2]]="BR",1,0))))</f>
        <v>1</v>
      </c>
      <c r="Z24" s="18">
        <f>IF(DataTable[[#This Row],[explanation1]]="BL",1,IF(DataTable[[#This Row],[explanation2]]="BL",1,0))</f>
        <v>1</v>
      </c>
      <c r="AA24" s="18">
        <f>IF(DataTable[[#This Row],[explanation1]]="WJ",1,IF(DataTable[[#This Row],[explanation2]]="WJ",1,0))</f>
        <v>0</v>
      </c>
      <c r="AB24" s="18">
        <f>IF(DataTable[[#This Row],[explanation1]]="U",1,IF(DataTable[[#This Row],[explanation2]]="U",1,0))</f>
        <v>0</v>
      </c>
      <c r="AC24" s="18">
        <f>IF(DataTable[[#This Row],[explanation1]]="O",1,IF(DataTable[[#This Row],[explanation2]]="O",1,0))</f>
        <v>0</v>
      </c>
      <c r="AD24" s="18">
        <f>IF(DataTable[[#This Row],[explanation1]]="TP",1,IF(DataTable[[#This Row],[explanation2]]="TP",1,0))</f>
        <v>0</v>
      </c>
      <c r="AE24" s="18">
        <f>IF(DataTable[[#This Row],[explanation1]]="WP",1,IF(DataTable[[#This Row],[explanation2]]="WP",1,0))</f>
        <v>0</v>
      </c>
      <c r="AF24" s="18">
        <f>IF(DataTable[[#This Row],[explanation1]]="BR",1,IF(DataTable[[#This Row],[explanation2]]="BR",1,0))</f>
        <v>0</v>
      </c>
      <c r="AG24" s="18">
        <f>IF(DataTable[[#This Row],[explanation1]]="LS",1,IF(DataTable[[#This Row],[explanation2]]="LS",1,0))</f>
        <v>0</v>
      </c>
      <c r="AH24" s="29" t="s">
        <v>67</v>
      </c>
    </row>
    <row r="25" spans="1:37" x14ac:dyDescent="0.2">
      <c r="A25" s="13">
        <v>23</v>
      </c>
      <c r="B25" s="14" t="s">
        <v>60</v>
      </c>
      <c r="C25" s="15" t="s">
        <v>45</v>
      </c>
      <c r="D25" s="16">
        <v>50</v>
      </c>
      <c r="E25" s="14" t="s">
        <v>58</v>
      </c>
      <c r="F25" s="16">
        <v>25</v>
      </c>
      <c r="G25" s="14" t="s">
        <v>47</v>
      </c>
      <c r="H25" s="15" t="s">
        <v>48</v>
      </c>
      <c r="I25" s="16" t="str">
        <f t="shared" si="0"/>
        <v>R</v>
      </c>
      <c r="J25" s="14" t="s">
        <v>49</v>
      </c>
      <c r="K25" s="16" t="s">
        <v>50</v>
      </c>
      <c r="L25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5" s="15">
        <f>IF(DataTable[[#This Row],[3x head (H)/tail (T)?]]=DataTable[[#This Row],[then 4th: H/T/B/0]],1,0)</f>
        <v>0</v>
      </c>
      <c r="N25" s="15">
        <f>IF(DataTable[[#This Row],[then 4th: H/T/B/0]]="B",1,0)</f>
        <v>1</v>
      </c>
      <c r="O25" s="14" t="s">
        <v>51</v>
      </c>
      <c r="P25" s="15">
        <v>21</v>
      </c>
      <c r="Q25" s="17" t="s">
        <v>407</v>
      </c>
      <c r="R25" s="16" t="s">
        <v>53</v>
      </c>
      <c r="S25" s="18" t="s">
        <v>65</v>
      </c>
      <c r="T25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25" s="19" t="s">
        <v>95</v>
      </c>
      <c r="V25" s="20" t="s">
        <v>6</v>
      </c>
      <c r="W25" s="20"/>
      <c r="X25" s="18"/>
      <c r="Y25" s="18">
        <f>IF(DataTable[[#This Row],[explanation1]]="BL",1,IF(DataTable[[#This Row],[explanation2]]="BL",1,IF(DataTable[[#This Row],[explanation1]]="BR",1,IF(DataTable[[#This Row],[explanation2]]="BR",1,0))))</f>
        <v>1</v>
      </c>
      <c r="Z25" s="18">
        <f>IF(DataTable[[#This Row],[explanation1]]="BL",1,IF(DataTable[[#This Row],[explanation2]]="BL",1,0))</f>
        <v>1</v>
      </c>
      <c r="AA25" s="18">
        <f>IF(DataTable[[#This Row],[explanation1]]="WJ",1,IF(DataTable[[#This Row],[explanation2]]="WJ",1,0))</f>
        <v>0</v>
      </c>
      <c r="AB25" s="18">
        <f>IF(DataTable[[#This Row],[explanation1]]="U",1,IF(DataTable[[#This Row],[explanation2]]="U",1,0))</f>
        <v>0</v>
      </c>
      <c r="AC25" s="18">
        <f>IF(DataTable[[#This Row],[explanation1]]="O",1,IF(DataTable[[#This Row],[explanation2]]="O",1,0))</f>
        <v>0</v>
      </c>
      <c r="AD25" s="18">
        <f>IF(DataTable[[#This Row],[explanation1]]="TP",1,IF(DataTable[[#This Row],[explanation2]]="TP",1,0))</f>
        <v>0</v>
      </c>
      <c r="AE25" s="18">
        <f>IF(DataTable[[#This Row],[explanation1]]="WP",1,IF(DataTable[[#This Row],[explanation2]]="WP",1,0))</f>
        <v>0</v>
      </c>
      <c r="AF25" s="18">
        <f>IF(DataTable[[#This Row],[explanation1]]="BR",1,IF(DataTable[[#This Row],[explanation2]]="BR",1,0))</f>
        <v>0</v>
      </c>
      <c r="AG25" s="18">
        <f>IF(DataTable[[#This Row],[explanation1]]="LS",1,IF(DataTable[[#This Row],[explanation2]]="LS",1,0))</f>
        <v>0</v>
      </c>
      <c r="AH25" s="20" t="s">
        <v>67</v>
      </c>
    </row>
    <row r="26" spans="1:37" x14ac:dyDescent="0.2">
      <c r="A26" s="22">
        <v>24</v>
      </c>
      <c r="B26" s="23" t="s">
        <v>60</v>
      </c>
      <c r="C26" s="24" t="s">
        <v>45</v>
      </c>
      <c r="D26" s="25">
        <v>50</v>
      </c>
      <c r="E26" s="23" t="s">
        <v>46</v>
      </c>
      <c r="F26" s="25">
        <v>26</v>
      </c>
      <c r="G26" s="23" t="s">
        <v>47</v>
      </c>
      <c r="H26" s="24" t="s">
        <v>48</v>
      </c>
      <c r="I26" s="25" t="str">
        <f t="shared" si="0"/>
        <v>R</v>
      </c>
      <c r="J26" s="23" t="s">
        <v>49</v>
      </c>
      <c r="K26" s="25" t="s">
        <v>50</v>
      </c>
      <c r="L26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6" s="24">
        <f>IF(DataTable[[#This Row],[3x head (H)/tail (T)?]]=DataTable[[#This Row],[then 4th: H/T/B/0]],1,0)</f>
        <v>0</v>
      </c>
      <c r="N26" s="24">
        <f>IF(DataTable[[#This Row],[then 4th: H/T/B/0]]="B",1,0)</f>
        <v>1</v>
      </c>
      <c r="O26" s="23" t="s">
        <v>51</v>
      </c>
      <c r="P26" s="24">
        <v>21</v>
      </c>
      <c r="Q26" s="26" t="s">
        <v>407</v>
      </c>
      <c r="R26" s="25" t="s">
        <v>53</v>
      </c>
      <c r="S26" s="27" t="s">
        <v>54</v>
      </c>
      <c r="T26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26" s="28" t="s">
        <v>100</v>
      </c>
      <c r="V26" s="29" t="s">
        <v>6</v>
      </c>
      <c r="W26" s="29"/>
      <c r="X26" s="27"/>
      <c r="Y26" s="27">
        <f>IF(DataTable[[#This Row],[explanation1]]="BL",1,IF(DataTable[[#This Row],[explanation2]]="BL",1,IF(DataTable[[#This Row],[explanation1]]="BR",1,IF(DataTable[[#This Row],[explanation2]]="BR",1,0))))</f>
        <v>1</v>
      </c>
      <c r="Z26" s="18">
        <f>IF(DataTable[[#This Row],[explanation1]]="BL",1,IF(DataTable[[#This Row],[explanation2]]="BL",1,0))</f>
        <v>1</v>
      </c>
      <c r="AA26" s="18">
        <f>IF(DataTable[[#This Row],[explanation1]]="WJ",1,IF(DataTable[[#This Row],[explanation2]]="WJ",1,0))</f>
        <v>0</v>
      </c>
      <c r="AB26" s="18">
        <f>IF(DataTable[[#This Row],[explanation1]]="U",1,IF(DataTable[[#This Row],[explanation2]]="U",1,0))</f>
        <v>0</v>
      </c>
      <c r="AC26" s="18">
        <f>IF(DataTable[[#This Row],[explanation1]]="O",1,IF(DataTable[[#This Row],[explanation2]]="O",1,0))</f>
        <v>0</v>
      </c>
      <c r="AD26" s="18">
        <f>IF(DataTable[[#This Row],[explanation1]]="TP",1,IF(DataTable[[#This Row],[explanation2]]="TP",1,0))</f>
        <v>0</v>
      </c>
      <c r="AE26" s="18">
        <f>IF(DataTable[[#This Row],[explanation1]]="WP",1,IF(DataTable[[#This Row],[explanation2]]="WP",1,0))</f>
        <v>0</v>
      </c>
      <c r="AF26" s="18">
        <f>IF(DataTable[[#This Row],[explanation1]]="BR",1,IF(DataTable[[#This Row],[explanation2]]="BR",1,0))</f>
        <v>0</v>
      </c>
      <c r="AG26" s="18">
        <f>IF(DataTable[[#This Row],[explanation1]]="LS",1,IF(DataTable[[#This Row],[explanation2]]="LS",1,0))</f>
        <v>0</v>
      </c>
      <c r="AH26" s="29" t="s">
        <v>67</v>
      </c>
    </row>
    <row r="27" spans="1:37" x14ac:dyDescent="0.2">
      <c r="A27" s="13">
        <v>25</v>
      </c>
      <c r="B27" s="14" t="s">
        <v>60</v>
      </c>
      <c r="C27" s="15" t="s">
        <v>45</v>
      </c>
      <c r="D27" s="16">
        <v>50</v>
      </c>
      <c r="E27" s="14" t="s">
        <v>58</v>
      </c>
      <c r="F27" s="16">
        <v>24</v>
      </c>
      <c r="G27" s="14" t="s">
        <v>47</v>
      </c>
      <c r="H27" s="15" t="s">
        <v>48</v>
      </c>
      <c r="I27" s="16" t="str">
        <f t="shared" si="0"/>
        <v>R</v>
      </c>
      <c r="J27" s="14" t="s">
        <v>49</v>
      </c>
      <c r="K27" s="16" t="s">
        <v>50</v>
      </c>
      <c r="L27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7" s="15">
        <f>IF(DataTable[[#This Row],[3x head (H)/tail (T)?]]=DataTable[[#This Row],[then 4th: H/T/B/0]],1,0)</f>
        <v>0</v>
      </c>
      <c r="N27" s="15">
        <f>IF(DataTable[[#This Row],[then 4th: H/T/B/0]]="B",1,0)</f>
        <v>1</v>
      </c>
      <c r="O27" s="14" t="s">
        <v>51</v>
      </c>
      <c r="P27" s="15">
        <v>21</v>
      </c>
      <c r="Q27" s="17" t="s">
        <v>407</v>
      </c>
      <c r="R27" s="16" t="s">
        <v>53</v>
      </c>
      <c r="S27" s="18" t="s">
        <v>75</v>
      </c>
      <c r="T27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27" s="19" t="s">
        <v>76</v>
      </c>
      <c r="V27" s="20" t="s">
        <v>6</v>
      </c>
      <c r="W27" s="20"/>
      <c r="X27" s="18"/>
      <c r="Y27" s="18">
        <f>IF(DataTable[[#This Row],[explanation1]]="BL",1,IF(DataTable[[#This Row],[explanation2]]="BL",1,IF(DataTable[[#This Row],[explanation1]]="BR",1,IF(DataTable[[#This Row],[explanation2]]="BR",1,0))))</f>
        <v>1</v>
      </c>
      <c r="Z27" s="18">
        <f>IF(DataTable[[#This Row],[explanation1]]="BL",1,IF(DataTable[[#This Row],[explanation2]]="BL",1,0))</f>
        <v>1</v>
      </c>
      <c r="AA27" s="18">
        <f>IF(DataTable[[#This Row],[explanation1]]="WJ",1,IF(DataTable[[#This Row],[explanation2]]="WJ",1,0))</f>
        <v>0</v>
      </c>
      <c r="AB27" s="18">
        <f>IF(DataTable[[#This Row],[explanation1]]="U",1,IF(DataTable[[#This Row],[explanation2]]="U",1,0))</f>
        <v>0</v>
      </c>
      <c r="AC27" s="18">
        <f>IF(DataTable[[#This Row],[explanation1]]="O",1,IF(DataTable[[#This Row],[explanation2]]="O",1,0))</f>
        <v>0</v>
      </c>
      <c r="AD27" s="18">
        <f>IF(DataTable[[#This Row],[explanation1]]="TP",1,IF(DataTable[[#This Row],[explanation2]]="TP",1,0))</f>
        <v>0</v>
      </c>
      <c r="AE27" s="18">
        <f>IF(DataTable[[#This Row],[explanation1]]="WP",1,IF(DataTable[[#This Row],[explanation2]]="WP",1,0))</f>
        <v>0</v>
      </c>
      <c r="AF27" s="18">
        <f>IF(DataTable[[#This Row],[explanation1]]="BR",1,IF(DataTable[[#This Row],[explanation2]]="BR",1,0))</f>
        <v>0</v>
      </c>
      <c r="AG27" s="18">
        <f>IF(DataTable[[#This Row],[explanation1]]="LS",1,IF(DataTable[[#This Row],[explanation2]]="LS",1,0))</f>
        <v>0</v>
      </c>
      <c r="AH27" s="20" t="s">
        <v>67</v>
      </c>
    </row>
    <row r="28" spans="1:37" x14ac:dyDescent="0.2">
      <c r="A28" s="22">
        <v>26</v>
      </c>
      <c r="B28" s="23" t="s">
        <v>60</v>
      </c>
      <c r="C28" s="24" t="s">
        <v>45</v>
      </c>
      <c r="D28" s="25">
        <v>1</v>
      </c>
      <c r="E28" s="23" t="s">
        <v>46</v>
      </c>
      <c r="F28" s="25">
        <v>72</v>
      </c>
      <c r="G28" s="23" t="s">
        <v>47</v>
      </c>
      <c r="H28" s="24" t="s">
        <v>81</v>
      </c>
      <c r="I28" s="25" t="str">
        <f t="shared" si="0"/>
        <v>L5</v>
      </c>
      <c r="J28" s="23" t="s">
        <v>49</v>
      </c>
      <c r="K28" s="25" t="s">
        <v>50</v>
      </c>
      <c r="L28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8" s="24">
        <f>IF(DataTable[[#This Row],[3x head (H)/tail (T)?]]=DataTable[[#This Row],[then 4th: H/T/B/0]],1,0)</f>
        <v>0</v>
      </c>
      <c r="N28" s="24">
        <f>IF(DataTable[[#This Row],[then 4th: H/T/B/0]]="B",1,0)</f>
        <v>1</v>
      </c>
      <c r="O28" s="23" t="s">
        <v>101</v>
      </c>
      <c r="P28" s="24">
        <v>14</v>
      </c>
      <c r="Q28" s="26" t="s">
        <v>408</v>
      </c>
      <c r="R28" s="25" t="s">
        <v>53</v>
      </c>
      <c r="S28" s="27" t="s">
        <v>103</v>
      </c>
      <c r="T28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5</v>
      </c>
      <c r="U28" s="28" t="s">
        <v>104</v>
      </c>
      <c r="V28" s="29" t="s">
        <v>6</v>
      </c>
      <c r="W28" s="29"/>
      <c r="X28" s="27"/>
      <c r="Y28" s="27">
        <f>IF(DataTable[[#This Row],[explanation1]]="BL",1,IF(DataTable[[#This Row],[explanation2]]="BL",1,IF(DataTable[[#This Row],[explanation1]]="BR",1,IF(DataTable[[#This Row],[explanation2]]="BR",1,0))))</f>
        <v>1</v>
      </c>
      <c r="Z28" s="18">
        <f>IF(DataTable[[#This Row],[explanation1]]="BL",1,IF(DataTable[[#This Row],[explanation2]]="BL",1,0))</f>
        <v>1</v>
      </c>
      <c r="AA28" s="18">
        <f>IF(DataTable[[#This Row],[explanation1]]="WJ",1,IF(DataTable[[#This Row],[explanation2]]="WJ",1,0))</f>
        <v>0</v>
      </c>
      <c r="AB28" s="18">
        <f>IF(DataTable[[#This Row],[explanation1]]="U",1,IF(DataTable[[#This Row],[explanation2]]="U",1,0))</f>
        <v>0</v>
      </c>
      <c r="AC28" s="18">
        <f>IF(DataTable[[#This Row],[explanation1]]="O",1,IF(DataTable[[#This Row],[explanation2]]="O",1,0))</f>
        <v>0</v>
      </c>
      <c r="AD28" s="18">
        <f>IF(DataTable[[#This Row],[explanation1]]="TP",1,IF(DataTable[[#This Row],[explanation2]]="TP",1,0))</f>
        <v>0</v>
      </c>
      <c r="AE28" s="18">
        <f>IF(DataTable[[#This Row],[explanation1]]="WP",1,IF(DataTable[[#This Row],[explanation2]]="WP",1,0))</f>
        <v>0</v>
      </c>
      <c r="AF28" s="18">
        <f>IF(DataTable[[#This Row],[explanation1]]="BR",1,IF(DataTable[[#This Row],[explanation2]]="BR",1,0))</f>
        <v>0</v>
      </c>
      <c r="AG28" s="18">
        <f>IF(DataTable[[#This Row],[explanation1]]="LS",1,IF(DataTable[[#This Row],[explanation2]]="LS",1,0))</f>
        <v>0</v>
      </c>
      <c r="AH28" s="29" t="s">
        <v>67</v>
      </c>
    </row>
    <row r="29" spans="1:37" x14ac:dyDescent="0.2">
      <c r="A29" s="13">
        <v>27</v>
      </c>
      <c r="B29" s="14" t="s">
        <v>44</v>
      </c>
      <c r="C29" s="15" t="s">
        <v>74</v>
      </c>
      <c r="D29" s="16">
        <v>1</v>
      </c>
      <c r="E29" s="14" t="s">
        <v>46</v>
      </c>
      <c r="F29" s="16">
        <v>86</v>
      </c>
      <c r="G29" s="14" t="s">
        <v>47</v>
      </c>
      <c r="H29" s="15" t="s">
        <v>81</v>
      </c>
      <c r="I29" s="16" t="str">
        <f t="shared" si="0"/>
        <v>L1</v>
      </c>
      <c r="J29" s="14" t="s">
        <v>49</v>
      </c>
      <c r="K29" s="16" t="s">
        <v>50</v>
      </c>
      <c r="L29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9" s="15">
        <f>IF(DataTable[[#This Row],[3x head (H)/tail (T)?]]=DataTable[[#This Row],[then 4th: H/T/B/0]],1,0)</f>
        <v>0</v>
      </c>
      <c r="N29" s="15">
        <f>IF(DataTable[[#This Row],[then 4th: H/T/B/0]]="B",1,0)</f>
        <v>1</v>
      </c>
      <c r="O29" s="14" t="s">
        <v>101</v>
      </c>
      <c r="P29" s="15">
        <v>14</v>
      </c>
      <c r="Q29" s="17" t="s">
        <v>408</v>
      </c>
      <c r="R29" s="16" t="s">
        <v>53</v>
      </c>
      <c r="S29" s="18" t="s">
        <v>103</v>
      </c>
      <c r="T29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5</v>
      </c>
      <c r="U29" s="19" t="s">
        <v>105</v>
      </c>
      <c r="V29" s="20" t="s">
        <v>6</v>
      </c>
      <c r="W29" s="20"/>
      <c r="X29" s="18"/>
      <c r="Y29" s="18">
        <f>IF(DataTable[[#This Row],[explanation1]]="BL",1,IF(DataTable[[#This Row],[explanation2]]="BL",1,IF(DataTable[[#This Row],[explanation1]]="BR",1,IF(DataTable[[#This Row],[explanation2]]="BR",1,0))))</f>
        <v>1</v>
      </c>
      <c r="Z29" s="18">
        <f>IF(DataTable[[#This Row],[explanation1]]="BL",1,IF(DataTable[[#This Row],[explanation2]]="BL",1,0))</f>
        <v>1</v>
      </c>
      <c r="AA29" s="18">
        <f>IF(DataTable[[#This Row],[explanation1]]="WJ",1,IF(DataTable[[#This Row],[explanation2]]="WJ",1,0))</f>
        <v>0</v>
      </c>
      <c r="AB29" s="18">
        <f>IF(DataTable[[#This Row],[explanation1]]="U",1,IF(DataTable[[#This Row],[explanation2]]="U",1,0))</f>
        <v>0</v>
      </c>
      <c r="AC29" s="18">
        <f>IF(DataTable[[#This Row],[explanation1]]="O",1,IF(DataTable[[#This Row],[explanation2]]="O",1,0))</f>
        <v>0</v>
      </c>
      <c r="AD29" s="18">
        <f>IF(DataTable[[#This Row],[explanation1]]="TP",1,IF(DataTable[[#This Row],[explanation2]]="TP",1,0))</f>
        <v>0</v>
      </c>
      <c r="AE29" s="18">
        <f>IF(DataTable[[#This Row],[explanation1]]="WP",1,IF(DataTable[[#This Row],[explanation2]]="WP",1,0))</f>
        <v>0</v>
      </c>
      <c r="AF29" s="18">
        <f>IF(DataTable[[#This Row],[explanation1]]="BR",1,IF(DataTable[[#This Row],[explanation2]]="BR",1,0))</f>
        <v>0</v>
      </c>
      <c r="AG29" s="18">
        <f>IF(DataTable[[#This Row],[explanation1]]="LS",1,IF(DataTable[[#This Row],[explanation2]]="LS",1,0))</f>
        <v>0</v>
      </c>
      <c r="AH29" s="20" t="s">
        <v>67</v>
      </c>
    </row>
    <row r="30" spans="1:37" x14ac:dyDescent="0.2">
      <c r="A30" s="22">
        <v>28</v>
      </c>
      <c r="B30" s="23" t="s">
        <v>64</v>
      </c>
      <c r="C30" s="24" t="s">
        <v>74</v>
      </c>
      <c r="D30" s="25">
        <v>1</v>
      </c>
      <c r="E30" s="23" t="s">
        <v>58</v>
      </c>
      <c r="F30" s="25">
        <v>47</v>
      </c>
      <c r="G30" s="23" t="s">
        <v>64</v>
      </c>
      <c r="H30" s="24" t="s">
        <v>48</v>
      </c>
      <c r="I30" s="25" t="str">
        <f t="shared" si="0"/>
        <v>M1</v>
      </c>
      <c r="J30" s="23" t="s">
        <v>49</v>
      </c>
      <c r="K30" s="25" t="s">
        <v>49</v>
      </c>
      <c r="L30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0" s="24">
        <f>IF(DataTable[[#This Row],[3x head (H)/tail (T)?]]=DataTable[[#This Row],[then 4th: H/T/B/0]],1,0)</f>
        <v>1</v>
      </c>
      <c r="N30" s="24">
        <f>IF(DataTable[[#This Row],[then 4th: H/T/B/0]]="B",1,0)</f>
        <v>0</v>
      </c>
      <c r="O30" s="23" t="s">
        <v>101</v>
      </c>
      <c r="P30" s="24">
        <v>14</v>
      </c>
      <c r="Q30" s="26" t="s">
        <v>408</v>
      </c>
      <c r="R30" s="25" t="s">
        <v>53</v>
      </c>
      <c r="S30" s="27" t="s">
        <v>103</v>
      </c>
      <c r="T30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5</v>
      </c>
      <c r="U30" s="28" t="s">
        <v>106</v>
      </c>
      <c r="V30" s="29" t="s">
        <v>8</v>
      </c>
      <c r="W30" s="29"/>
      <c r="X30" s="29" t="s">
        <v>107</v>
      </c>
      <c r="Y30" s="29">
        <f>IF(DataTable[[#This Row],[explanation1]]="BL",1,IF(DataTable[[#This Row],[explanation2]]="BL",1,IF(DataTable[[#This Row],[explanation1]]="BR",1,IF(DataTable[[#This Row],[explanation2]]="BR",1,0))))</f>
        <v>0</v>
      </c>
      <c r="Z30" s="18">
        <f>IF(DataTable[[#This Row],[explanation1]]="BL",1,IF(DataTable[[#This Row],[explanation2]]="BL",1,0))</f>
        <v>0</v>
      </c>
      <c r="AA30" s="18">
        <f>IF(DataTable[[#This Row],[explanation1]]="WJ",1,IF(DataTable[[#This Row],[explanation2]]="WJ",1,0))</f>
        <v>0</v>
      </c>
      <c r="AB30" s="18">
        <f>IF(DataTable[[#This Row],[explanation1]]="U",1,IF(DataTable[[#This Row],[explanation2]]="U",1,0))</f>
        <v>1</v>
      </c>
      <c r="AC30" s="18">
        <f>IF(DataTable[[#This Row],[explanation1]]="O",1,IF(DataTable[[#This Row],[explanation2]]="O",1,0))</f>
        <v>0</v>
      </c>
      <c r="AD30" s="18">
        <f>IF(DataTable[[#This Row],[explanation1]]="TP",1,IF(DataTable[[#This Row],[explanation2]]="TP",1,0))</f>
        <v>0</v>
      </c>
      <c r="AE30" s="18">
        <f>IF(DataTable[[#This Row],[explanation1]]="WP",1,IF(DataTable[[#This Row],[explanation2]]="WP",1,0))</f>
        <v>0</v>
      </c>
      <c r="AF30" s="18">
        <f>IF(DataTable[[#This Row],[explanation1]]="BR",1,IF(DataTable[[#This Row],[explanation2]]="BR",1,0))</f>
        <v>0</v>
      </c>
      <c r="AG30" s="18">
        <f>IF(DataTable[[#This Row],[explanation1]]="LS",1,IF(DataTable[[#This Row],[explanation2]]="LS",1,0))</f>
        <v>0</v>
      </c>
      <c r="AH30" s="29" t="s">
        <v>108</v>
      </c>
    </row>
    <row r="31" spans="1:37" x14ac:dyDescent="0.2">
      <c r="A31" s="13">
        <v>29</v>
      </c>
      <c r="B31" s="14" t="s">
        <v>60</v>
      </c>
      <c r="C31" s="15" t="s">
        <v>74</v>
      </c>
      <c r="D31" s="16">
        <v>1</v>
      </c>
      <c r="E31" s="14" t="s">
        <v>58</v>
      </c>
      <c r="F31" s="16">
        <v>64</v>
      </c>
      <c r="G31" s="14" t="s">
        <v>47</v>
      </c>
      <c r="H31" s="15" t="s">
        <v>48</v>
      </c>
      <c r="I31" s="16" t="str">
        <f t="shared" si="0"/>
        <v>R</v>
      </c>
      <c r="J31" s="14" t="s">
        <v>49</v>
      </c>
      <c r="K31" s="16" t="s">
        <v>49</v>
      </c>
      <c r="L31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1" s="15">
        <f>IF(DataTable[[#This Row],[3x head (H)/tail (T)?]]=DataTable[[#This Row],[then 4th: H/T/B/0]],1,0)</f>
        <v>1</v>
      </c>
      <c r="N31" s="15">
        <f>IF(DataTable[[#This Row],[then 4th: H/T/B/0]]="B",1,0)</f>
        <v>0</v>
      </c>
      <c r="O31" s="14" t="s">
        <v>101</v>
      </c>
      <c r="P31" s="15">
        <v>14</v>
      </c>
      <c r="Q31" s="17" t="s">
        <v>408</v>
      </c>
      <c r="R31" s="16" t="s">
        <v>53</v>
      </c>
      <c r="S31" s="18" t="s">
        <v>103</v>
      </c>
      <c r="T31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5</v>
      </c>
      <c r="U31" s="19" t="s">
        <v>106</v>
      </c>
      <c r="V31" s="20" t="s">
        <v>6</v>
      </c>
      <c r="W31" s="20"/>
      <c r="X31" s="18"/>
      <c r="Y31" s="18">
        <f>IF(DataTable[[#This Row],[explanation1]]="BL",1,IF(DataTable[[#This Row],[explanation2]]="BL",1,IF(DataTable[[#This Row],[explanation1]]="BR",1,IF(DataTable[[#This Row],[explanation2]]="BR",1,0))))</f>
        <v>1</v>
      </c>
      <c r="Z31" s="18">
        <f>IF(DataTable[[#This Row],[explanation1]]="BL",1,IF(DataTable[[#This Row],[explanation2]]="BL",1,0))</f>
        <v>1</v>
      </c>
      <c r="AA31" s="18">
        <f>IF(DataTable[[#This Row],[explanation1]]="WJ",1,IF(DataTable[[#This Row],[explanation2]]="WJ",1,0))</f>
        <v>0</v>
      </c>
      <c r="AB31" s="18">
        <f>IF(DataTable[[#This Row],[explanation1]]="U",1,IF(DataTable[[#This Row],[explanation2]]="U",1,0))</f>
        <v>0</v>
      </c>
      <c r="AC31" s="18">
        <f>IF(DataTable[[#This Row],[explanation1]]="O",1,IF(DataTable[[#This Row],[explanation2]]="O",1,0))</f>
        <v>0</v>
      </c>
      <c r="AD31" s="18">
        <f>IF(DataTable[[#This Row],[explanation1]]="TP",1,IF(DataTable[[#This Row],[explanation2]]="TP",1,0))</f>
        <v>0</v>
      </c>
      <c r="AE31" s="18">
        <f>IF(DataTable[[#This Row],[explanation1]]="WP",1,IF(DataTable[[#This Row],[explanation2]]="WP",1,0))</f>
        <v>0</v>
      </c>
      <c r="AF31" s="18">
        <f>IF(DataTable[[#This Row],[explanation1]]="BR",1,IF(DataTable[[#This Row],[explanation2]]="BR",1,0))</f>
        <v>0</v>
      </c>
      <c r="AG31" s="18">
        <f>IF(DataTable[[#This Row],[explanation1]]="LS",1,IF(DataTable[[#This Row],[explanation2]]="LS",1,0))</f>
        <v>0</v>
      </c>
      <c r="AH31" s="20" t="s">
        <v>67</v>
      </c>
    </row>
    <row r="32" spans="1:37" x14ac:dyDescent="0.2">
      <c r="A32" s="22">
        <v>30</v>
      </c>
      <c r="B32" s="23" t="s">
        <v>70</v>
      </c>
      <c r="C32" s="24" t="s">
        <v>74</v>
      </c>
      <c r="D32" s="25">
        <v>1</v>
      </c>
      <c r="E32" s="23" t="s">
        <v>46</v>
      </c>
      <c r="F32" s="25">
        <v>68</v>
      </c>
      <c r="G32" s="23" t="s">
        <v>47</v>
      </c>
      <c r="H32" s="24" t="s">
        <v>48</v>
      </c>
      <c r="I32" s="25" t="str">
        <f t="shared" si="0"/>
        <v>R</v>
      </c>
      <c r="J32" s="23" t="s">
        <v>49</v>
      </c>
      <c r="K32" s="25" t="s">
        <v>78</v>
      </c>
      <c r="L32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32" s="24">
        <f>IF(DataTable[[#This Row],[3x head (H)/tail (T)?]]=DataTable[[#This Row],[then 4th: H/T/B/0]],1,0)</f>
        <v>0</v>
      </c>
      <c r="N32" s="24">
        <f>IF(DataTable[[#This Row],[then 4th: H/T/B/0]]="B",1,0)</f>
        <v>0</v>
      </c>
      <c r="O32" s="23" t="s">
        <v>101</v>
      </c>
      <c r="P32" s="24">
        <v>14</v>
      </c>
      <c r="Q32" s="26" t="s">
        <v>408</v>
      </c>
      <c r="R32" s="25" t="s">
        <v>53</v>
      </c>
      <c r="S32" s="27" t="s">
        <v>103</v>
      </c>
      <c r="T32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5</v>
      </c>
      <c r="U32" s="28" t="s">
        <v>109</v>
      </c>
      <c r="V32" s="29" t="s">
        <v>12</v>
      </c>
      <c r="W32" s="29"/>
      <c r="X32" s="27"/>
      <c r="Y32" s="27">
        <f>IF(DataTable[[#This Row],[explanation1]]="BL",1,IF(DataTable[[#This Row],[explanation2]]="BL",1,IF(DataTable[[#This Row],[explanation1]]="BR",1,IF(DataTable[[#This Row],[explanation2]]="BR",1,0))))</f>
        <v>1</v>
      </c>
      <c r="Z32" s="18">
        <f>IF(DataTable[[#This Row],[explanation1]]="BL",1,IF(DataTable[[#This Row],[explanation2]]="BL",1,0))</f>
        <v>0</v>
      </c>
      <c r="AA32" s="18">
        <f>IF(DataTable[[#This Row],[explanation1]]="WJ",1,IF(DataTable[[#This Row],[explanation2]]="WJ",1,0))</f>
        <v>0</v>
      </c>
      <c r="AB32" s="18">
        <f>IF(DataTable[[#This Row],[explanation1]]="U",1,IF(DataTable[[#This Row],[explanation2]]="U",1,0))</f>
        <v>0</v>
      </c>
      <c r="AC32" s="18">
        <f>IF(DataTable[[#This Row],[explanation1]]="O",1,IF(DataTable[[#This Row],[explanation2]]="O",1,0))</f>
        <v>0</v>
      </c>
      <c r="AD32" s="18">
        <f>IF(DataTable[[#This Row],[explanation1]]="TP",1,IF(DataTable[[#This Row],[explanation2]]="TP",1,0))</f>
        <v>0</v>
      </c>
      <c r="AE32" s="18">
        <f>IF(DataTable[[#This Row],[explanation1]]="WP",1,IF(DataTable[[#This Row],[explanation2]]="WP",1,0))</f>
        <v>0</v>
      </c>
      <c r="AF32" s="18">
        <f>IF(DataTable[[#This Row],[explanation1]]="BR",1,IF(DataTable[[#This Row],[explanation2]]="BR",1,0))</f>
        <v>1</v>
      </c>
      <c r="AG32" s="18">
        <f>IF(DataTable[[#This Row],[explanation1]]="LS",1,IF(DataTable[[#This Row],[explanation2]]="LS",1,0))</f>
        <v>0</v>
      </c>
      <c r="AH32" s="29" t="s">
        <v>110</v>
      </c>
    </row>
    <row r="33" spans="1:34" x14ac:dyDescent="0.2">
      <c r="A33" s="13">
        <v>31</v>
      </c>
      <c r="B33" s="14" t="s">
        <v>44</v>
      </c>
      <c r="C33" s="15" t="s">
        <v>45</v>
      </c>
      <c r="D33" s="16">
        <v>50</v>
      </c>
      <c r="E33" s="14" t="s">
        <v>46</v>
      </c>
      <c r="F33" s="16">
        <v>44</v>
      </c>
      <c r="G33" s="14" t="s">
        <v>47</v>
      </c>
      <c r="H33" s="15" t="s">
        <v>48</v>
      </c>
      <c r="I33" s="16" t="str">
        <f t="shared" si="0"/>
        <v>R</v>
      </c>
      <c r="J33" s="14" t="s">
        <v>49</v>
      </c>
      <c r="K33" s="16">
        <v>0</v>
      </c>
      <c r="L33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3" s="15">
        <f>IF(DataTable[[#This Row],[3x head (H)/tail (T)?]]=DataTable[[#This Row],[then 4th: H/T/B/0]],1,0)</f>
        <v>0</v>
      </c>
      <c r="N33" s="15">
        <f>IF(DataTable[[#This Row],[then 4th: H/T/B/0]]="B",1,0)</f>
        <v>0</v>
      </c>
      <c r="O33" s="14" t="s">
        <v>101</v>
      </c>
      <c r="P33" s="15">
        <v>14</v>
      </c>
      <c r="Q33" s="17" t="s">
        <v>408</v>
      </c>
      <c r="R33" s="16" t="s">
        <v>53</v>
      </c>
      <c r="S33" s="18" t="s">
        <v>103</v>
      </c>
      <c r="T33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5</v>
      </c>
      <c r="U33" s="19" t="s">
        <v>111</v>
      </c>
      <c r="V33" s="20" t="s">
        <v>8</v>
      </c>
      <c r="W33" s="20"/>
      <c r="X33" s="20" t="s">
        <v>112</v>
      </c>
      <c r="Y33" s="20">
        <f>IF(DataTable[[#This Row],[explanation1]]="BL",1,IF(DataTable[[#This Row],[explanation2]]="BL",1,IF(DataTable[[#This Row],[explanation1]]="BR",1,IF(DataTable[[#This Row],[explanation2]]="BR",1,0))))</f>
        <v>0</v>
      </c>
      <c r="Z33" s="18">
        <f>IF(DataTable[[#This Row],[explanation1]]="BL",1,IF(DataTable[[#This Row],[explanation2]]="BL",1,0))</f>
        <v>0</v>
      </c>
      <c r="AA33" s="18">
        <f>IF(DataTable[[#This Row],[explanation1]]="WJ",1,IF(DataTable[[#This Row],[explanation2]]="WJ",1,0))</f>
        <v>0</v>
      </c>
      <c r="AB33" s="18">
        <f>IF(DataTable[[#This Row],[explanation1]]="U",1,IF(DataTable[[#This Row],[explanation2]]="U",1,0))</f>
        <v>1</v>
      </c>
      <c r="AC33" s="18">
        <f>IF(DataTable[[#This Row],[explanation1]]="O",1,IF(DataTable[[#This Row],[explanation2]]="O",1,0))</f>
        <v>0</v>
      </c>
      <c r="AD33" s="18">
        <f>IF(DataTable[[#This Row],[explanation1]]="TP",1,IF(DataTable[[#This Row],[explanation2]]="TP",1,0))</f>
        <v>0</v>
      </c>
      <c r="AE33" s="18">
        <f>IF(DataTable[[#This Row],[explanation1]]="WP",1,IF(DataTable[[#This Row],[explanation2]]="WP",1,0))</f>
        <v>0</v>
      </c>
      <c r="AF33" s="18">
        <f>IF(DataTable[[#This Row],[explanation1]]="BR",1,IF(DataTable[[#This Row],[explanation2]]="BR",1,0))</f>
        <v>0</v>
      </c>
      <c r="AG33" s="18">
        <f>IF(DataTable[[#This Row],[explanation1]]="LS",1,IF(DataTable[[#This Row],[explanation2]]="LS",1,0))</f>
        <v>0</v>
      </c>
      <c r="AH33" s="20" t="s">
        <v>113</v>
      </c>
    </row>
    <row r="34" spans="1:34" x14ac:dyDescent="0.2">
      <c r="A34" s="22">
        <v>32</v>
      </c>
      <c r="B34" s="23" t="s">
        <v>57</v>
      </c>
      <c r="C34" s="24" t="s">
        <v>45</v>
      </c>
      <c r="D34" s="25">
        <v>50</v>
      </c>
      <c r="E34" s="23" t="s">
        <v>46</v>
      </c>
      <c r="F34" s="25">
        <v>83</v>
      </c>
      <c r="G34" s="23" t="s">
        <v>47</v>
      </c>
      <c r="H34" s="24" t="s">
        <v>48</v>
      </c>
      <c r="I34" s="25" t="str">
        <f t="shared" si="0"/>
        <v>R</v>
      </c>
      <c r="J34" s="23" t="s">
        <v>49</v>
      </c>
      <c r="K34" s="25" t="s">
        <v>50</v>
      </c>
      <c r="L34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4" s="24">
        <f>IF(DataTable[[#This Row],[3x head (H)/tail (T)?]]=DataTable[[#This Row],[then 4th: H/T/B/0]],1,0)</f>
        <v>0</v>
      </c>
      <c r="N34" s="24">
        <f>IF(DataTable[[#This Row],[then 4th: H/T/B/0]]="B",1,0)</f>
        <v>1</v>
      </c>
      <c r="O34" s="23" t="s">
        <v>101</v>
      </c>
      <c r="P34" s="24">
        <v>14</v>
      </c>
      <c r="Q34" s="26" t="s">
        <v>408</v>
      </c>
      <c r="R34" s="25" t="s">
        <v>53</v>
      </c>
      <c r="S34" s="27" t="s">
        <v>54</v>
      </c>
      <c r="T34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34" s="28" t="s">
        <v>55</v>
      </c>
      <c r="V34" s="29" t="s">
        <v>8</v>
      </c>
      <c r="W34" s="29"/>
      <c r="X34" s="29" t="s">
        <v>114</v>
      </c>
      <c r="Y34" s="29">
        <f>IF(DataTable[[#This Row],[explanation1]]="BL",1,IF(DataTable[[#This Row],[explanation2]]="BL",1,IF(DataTable[[#This Row],[explanation1]]="BR",1,IF(DataTable[[#This Row],[explanation2]]="BR",1,0))))</f>
        <v>0</v>
      </c>
      <c r="Z34" s="18">
        <f>IF(DataTable[[#This Row],[explanation1]]="BL",1,IF(DataTable[[#This Row],[explanation2]]="BL",1,0))</f>
        <v>0</v>
      </c>
      <c r="AA34" s="18">
        <f>IF(DataTable[[#This Row],[explanation1]]="WJ",1,IF(DataTable[[#This Row],[explanation2]]="WJ",1,0))</f>
        <v>0</v>
      </c>
      <c r="AB34" s="18">
        <f>IF(DataTable[[#This Row],[explanation1]]="U",1,IF(DataTable[[#This Row],[explanation2]]="U",1,0))</f>
        <v>1</v>
      </c>
      <c r="AC34" s="18">
        <f>IF(DataTable[[#This Row],[explanation1]]="O",1,IF(DataTable[[#This Row],[explanation2]]="O",1,0))</f>
        <v>0</v>
      </c>
      <c r="AD34" s="18">
        <f>IF(DataTable[[#This Row],[explanation1]]="TP",1,IF(DataTable[[#This Row],[explanation2]]="TP",1,0))</f>
        <v>0</v>
      </c>
      <c r="AE34" s="18">
        <f>IF(DataTable[[#This Row],[explanation1]]="WP",1,IF(DataTable[[#This Row],[explanation2]]="WP",1,0))</f>
        <v>0</v>
      </c>
      <c r="AF34" s="18">
        <f>IF(DataTable[[#This Row],[explanation1]]="BR",1,IF(DataTable[[#This Row],[explanation2]]="BR",1,0))</f>
        <v>0</v>
      </c>
      <c r="AG34" s="18">
        <f>IF(DataTable[[#This Row],[explanation1]]="LS",1,IF(DataTable[[#This Row],[explanation2]]="LS",1,0))</f>
        <v>0</v>
      </c>
      <c r="AH34" s="29" t="s">
        <v>115</v>
      </c>
    </row>
    <row r="35" spans="1:34" x14ac:dyDescent="0.2">
      <c r="A35" s="13">
        <v>33</v>
      </c>
      <c r="B35" s="14" t="s">
        <v>64</v>
      </c>
      <c r="C35" s="15" t="s">
        <v>45</v>
      </c>
      <c r="D35" s="16">
        <v>50</v>
      </c>
      <c r="E35" s="14" t="s">
        <v>58</v>
      </c>
      <c r="F35" s="16">
        <v>61</v>
      </c>
      <c r="G35" s="14" t="s">
        <v>47</v>
      </c>
      <c r="H35" s="15" t="s">
        <v>48</v>
      </c>
      <c r="I35" s="16" t="str">
        <f t="shared" si="0"/>
        <v>R</v>
      </c>
      <c r="J35" s="14" t="s">
        <v>49</v>
      </c>
      <c r="K35" s="16" t="s">
        <v>49</v>
      </c>
      <c r="L35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5" s="15">
        <f>IF(DataTable[[#This Row],[3x head (H)/tail (T)?]]=DataTable[[#This Row],[then 4th: H/T/B/0]],1,0)</f>
        <v>1</v>
      </c>
      <c r="N35" s="15">
        <f>IF(DataTable[[#This Row],[then 4th: H/T/B/0]]="B",1,0)</f>
        <v>0</v>
      </c>
      <c r="O35" s="14" t="s">
        <v>101</v>
      </c>
      <c r="P35" s="15">
        <v>14</v>
      </c>
      <c r="Q35" s="17" t="s">
        <v>408</v>
      </c>
      <c r="R35" s="16" t="s">
        <v>53</v>
      </c>
      <c r="S35" s="18" t="s">
        <v>54</v>
      </c>
      <c r="T35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35" s="19" t="s">
        <v>116</v>
      </c>
      <c r="V35" s="20" t="s">
        <v>12</v>
      </c>
      <c r="W35" s="20"/>
      <c r="X35" s="18"/>
      <c r="Y35" s="18">
        <f>IF(DataTable[[#This Row],[explanation1]]="BL",1,IF(DataTable[[#This Row],[explanation2]]="BL",1,IF(DataTable[[#This Row],[explanation1]]="BR",1,IF(DataTable[[#This Row],[explanation2]]="BR",1,0))))</f>
        <v>1</v>
      </c>
      <c r="Z35" s="18">
        <f>IF(DataTable[[#This Row],[explanation1]]="BL",1,IF(DataTable[[#This Row],[explanation2]]="BL",1,0))</f>
        <v>0</v>
      </c>
      <c r="AA35" s="18">
        <f>IF(DataTable[[#This Row],[explanation1]]="WJ",1,IF(DataTable[[#This Row],[explanation2]]="WJ",1,0))</f>
        <v>0</v>
      </c>
      <c r="AB35" s="18">
        <f>IF(DataTable[[#This Row],[explanation1]]="U",1,IF(DataTable[[#This Row],[explanation2]]="U",1,0))</f>
        <v>0</v>
      </c>
      <c r="AC35" s="18">
        <f>IF(DataTable[[#This Row],[explanation1]]="O",1,IF(DataTable[[#This Row],[explanation2]]="O",1,0))</f>
        <v>0</v>
      </c>
      <c r="AD35" s="18">
        <f>IF(DataTable[[#This Row],[explanation1]]="TP",1,IF(DataTable[[#This Row],[explanation2]]="TP",1,0))</f>
        <v>0</v>
      </c>
      <c r="AE35" s="18">
        <f>IF(DataTable[[#This Row],[explanation1]]="WP",1,IF(DataTable[[#This Row],[explanation2]]="WP",1,0))</f>
        <v>0</v>
      </c>
      <c r="AF35" s="18">
        <f>IF(DataTable[[#This Row],[explanation1]]="BR",1,IF(DataTable[[#This Row],[explanation2]]="BR",1,0))</f>
        <v>1</v>
      </c>
      <c r="AG35" s="18">
        <f>IF(DataTable[[#This Row],[explanation1]]="LS",1,IF(DataTable[[#This Row],[explanation2]]="LS",1,0))</f>
        <v>0</v>
      </c>
      <c r="AH35" s="20" t="s">
        <v>117</v>
      </c>
    </row>
    <row r="36" spans="1:34" x14ac:dyDescent="0.2">
      <c r="A36" s="22">
        <v>34</v>
      </c>
      <c r="B36" s="23" t="s">
        <v>68</v>
      </c>
      <c r="C36" s="24" t="s">
        <v>45</v>
      </c>
      <c r="D36" s="25">
        <v>50</v>
      </c>
      <c r="E36" s="23" t="s">
        <v>46</v>
      </c>
      <c r="F36" s="25">
        <v>20</v>
      </c>
      <c r="G36" s="23" t="s">
        <v>47</v>
      </c>
      <c r="H36" s="24" t="s">
        <v>48</v>
      </c>
      <c r="I36" s="25" t="str">
        <f t="shared" si="0"/>
        <v>R</v>
      </c>
      <c r="J36" s="23" t="s">
        <v>49</v>
      </c>
      <c r="K36" s="25" t="s">
        <v>49</v>
      </c>
      <c r="L36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6" s="24">
        <f>IF(DataTable[[#This Row],[3x head (H)/tail (T)?]]=DataTable[[#This Row],[then 4th: H/T/B/0]],1,0)</f>
        <v>1</v>
      </c>
      <c r="N36" s="24">
        <f>IF(DataTable[[#This Row],[then 4th: H/T/B/0]]="B",1,0)</f>
        <v>0</v>
      </c>
      <c r="O36" s="23" t="s">
        <v>101</v>
      </c>
      <c r="P36" s="24">
        <v>14</v>
      </c>
      <c r="Q36" s="26" t="s">
        <v>118</v>
      </c>
      <c r="R36" s="25" t="s">
        <v>53</v>
      </c>
      <c r="S36" s="27" t="s">
        <v>54</v>
      </c>
      <c r="T36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36" s="28" t="s">
        <v>72</v>
      </c>
      <c r="V36" s="29" t="s">
        <v>6</v>
      </c>
      <c r="W36" s="29"/>
      <c r="X36" s="27"/>
      <c r="Y36" s="27">
        <f>IF(DataTable[[#This Row],[explanation1]]="BL",1,IF(DataTable[[#This Row],[explanation2]]="BL",1,IF(DataTable[[#This Row],[explanation1]]="BR",1,IF(DataTable[[#This Row],[explanation2]]="BR",1,0))))</f>
        <v>1</v>
      </c>
      <c r="Z36" s="18">
        <f>IF(DataTable[[#This Row],[explanation1]]="BL",1,IF(DataTable[[#This Row],[explanation2]]="BL",1,0))</f>
        <v>1</v>
      </c>
      <c r="AA36" s="18">
        <f>IF(DataTable[[#This Row],[explanation1]]="WJ",1,IF(DataTable[[#This Row],[explanation2]]="WJ",1,0))</f>
        <v>0</v>
      </c>
      <c r="AB36" s="18">
        <f>IF(DataTable[[#This Row],[explanation1]]="U",1,IF(DataTable[[#This Row],[explanation2]]="U",1,0))</f>
        <v>0</v>
      </c>
      <c r="AC36" s="18">
        <f>IF(DataTable[[#This Row],[explanation1]]="O",1,IF(DataTable[[#This Row],[explanation2]]="O",1,0))</f>
        <v>0</v>
      </c>
      <c r="AD36" s="18">
        <f>IF(DataTable[[#This Row],[explanation1]]="TP",1,IF(DataTable[[#This Row],[explanation2]]="TP",1,0))</f>
        <v>0</v>
      </c>
      <c r="AE36" s="18">
        <f>IF(DataTable[[#This Row],[explanation1]]="WP",1,IF(DataTable[[#This Row],[explanation2]]="WP",1,0))</f>
        <v>0</v>
      </c>
      <c r="AF36" s="18">
        <f>IF(DataTable[[#This Row],[explanation1]]="BR",1,IF(DataTable[[#This Row],[explanation2]]="BR",1,0))</f>
        <v>0</v>
      </c>
      <c r="AG36" s="18">
        <f>IF(DataTable[[#This Row],[explanation1]]="LS",1,IF(DataTable[[#This Row],[explanation2]]="LS",1,0))</f>
        <v>0</v>
      </c>
      <c r="AH36" s="29" t="s">
        <v>67</v>
      </c>
    </row>
    <row r="37" spans="1:34" x14ac:dyDescent="0.2">
      <c r="A37" s="13">
        <v>35</v>
      </c>
      <c r="B37" s="14" t="s">
        <v>70</v>
      </c>
      <c r="C37" s="15" t="s">
        <v>74</v>
      </c>
      <c r="D37" s="16">
        <v>50</v>
      </c>
      <c r="E37" s="14" t="s">
        <v>58</v>
      </c>
      <c r="F37" s="16">
        <v>19</v>
      </c>
      <c r="G37" s="14" t="s">
        <v>47</v>
      </c>
      <c r="H37" s="15" t="s">
        <v>48</v>
      </c>
      <c r="I37" s="16" t="str">
        <f t="shared" si="0"/>
        <v>R</v>
      </c>
      <c r="J37" s="14" t="s">
        <v>49</v>
      </c>
      <c r="K37" s="16" t="s">
        <v>50</v>
      </c>
      <c r="L37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7" s="15">
        <f>IF(DataTable[[#This Row],[3x head (H)/tail (T)?]]=DataTable[[#This Row],[then 4th: H/T/B/0]],1,0)</f>
        <v>0</v>
      </c>
      <c r="N37" s="15">
        <f>IF(DataTable[[#This Row],[then 4th: H/T/B/0]]="B",1,0)</f>
        <v>1</v>
      </c>
      <c r="O37" s="14" t="s">
        <v>101</v>
      </c>
      <c r="P37" s="15">
        <v>14</v>
      </c>
      <c r="Q37" s="17" t="s">
        <v>118</v>
      </c>
      <c r="R37" s="16" t="s">
        <v>53</v>
      </c>
      <c r="S37" s="18" t="s">
        <v>75</v>
      </c>
      <c r="T37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7" s="19" t="s">
        <v>76</v>
      </c>
      <c r="V37" s="20" t="s">
        <v>6</v>
      </c>
      <c r="W37" s="20"/>
      <c r="X37" s="18"/>
      <c r="Y37" s="18">
        <f>IF(DataTable[[#This Row],[explanation1]]="BL",1,IF(DataTable[[#This Row],[explanation2]]="BL",1,IF(DataTable[[#This Row],[explanation1]]="BR",1,IF(DataTable[[#This Row],[explanation2]]="BR",1,0))))</f>
        <v>1</v>
      </c>
      <c r="Z37" s="18">
        <f>IF(DataTable[[#This Row],[explanation1]]="BL",1,IF(DataTable[[#This Row],[explanation2]]="BL",1,0))</f>
        <v>1</v>
      </c>
      <c r="AA37" s="18">
        <f>IF(DataTable[[#This Row],[explanation1]]="WJ",1,IF(DataTable[[#This Row],[explanation2]]="WJ",1,0))</f>
        <v>0</v>
      </c>
      <c r="AB37" s="18">
        <f>IF(DataTable[[#This Row],[explanation1]]="U",1,IF(DataTable[[#This Row],[explanation2]]="U",1,0))</f>
        <v>0</v>
      </c>
      <c r="AC37" s="18">
        <f>IF(DataTable[[#This Row],[explanation1]]="O",1,IF(DataTable[[#This Row],[explanation2]]="O",1,0))</f>
        <v>0</v>
      </c>
      <c r="AD37" s="18">
        <f>IF(DataTable[[#This Row],[explanation1]]="TP",1,IF(DataTable[[#This Row],[explanation2]]="TP",1,0))</f>
        <v>0</v>
      </c>
      <c r="AE37" s="18">
        <f>IF(DataTable[[#This Row],[explanation1]]="WP",1,IF(DataTable[[#This Row],[explanation2]]="WP",1,0))</f>
        <v>0</v>
      </c>
      <c r="AF37" s="18">
        <f>IF(DataTable[[#This Row],[explanation1]]="BR",1,IF(DataTable[[#This Row],[explanation2]]="BR",1,0))</f>
        <v>0</v>
      </c>
      <c r="AG37" s="18">
        <f>IF(DataTable[[#This Row],[explanation1]]="LS",1,IF(DataTable[[#This Row],[explanation2]]="LS",1,0))</f>
        <v>0</v>
      </c>
      <c r="AH37" s="20" t="s">
        <v>67</v>
      </c>
    </row>
    <row r="38" spans="1:34" x14ac:dyDescent="0.2">
      <c r="A38" s="22">
        <v>36</v>
      </c>
      <c r="B38" s="23" t="s">
        <v>44</v>
      </c>
      <c r="C38" s="24" t="s">
        <v>45</v>
      </c>
      <c r="D38" s="25">
        <v>50</v>
      </c>
      <c r="E38" s="23" t="s">
        <v>46</v>
      </c>
      <c r="F38" s="25">
        <v>52</v>
      </c>
      <c r="G38" s="23" t="s">
        <v>47</v>
      </c>
      <c r="H38" s="24" t="s">
        <v>48</v>
      </c>
      <c r="I38" s="25" t="str">
        <f t="shared" si="0"/>
        <v>R</v>
      </c>
      <c r="J38" s="23" t="s">
        <v>49</v>
      </c>
      <c r="K38" s="25" t="s">
        <v>49</v>
      </c>
      <c r="L38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8" s="24">
        <f>IF(DataTable[[#This Row],[3x head (H)/tail (T)?]]=DataTable[[#This Row],[then 4th: H/T/B/0]],1,0)</f>
        <v>1</v>
      </c>
      <c r="N38" s="24">
        <f>IF(DataTable[[#This Row],[then 4th: H/T/B/0]]="B",1,0)</f>
        <v>0</v>
      </c>
      <c r="O38" s="23" t="s">
        <v>101</v>
      </c>
      <c r="P38" s="24">
        <v>14</v>
      </c>
      <c r="Q38" s="26" t="s">
        <v>118</v>
      </c>
      <c r="R38" s="25" t="s">
        <v>53</v>
      </c>
      <c r="S38" s="27" t="s">
        <v>103</v>
      </c>
      <c r="T38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5</v>
      </c>
      <c r="U38" s="28" t="s">
        <v>106</v>
      </c>
      <c r="V38" s="29" t="s">
        <v>8</v>
      </c>
      <c r="W38" s="29"/>
      <c r="X38" s="27"/>
      <c r="Y38" s="27">
        <f>IF(DataTable[[#This Row],[explanation1]]="BL",1,IF(DataTable[[#This Row],[explanation2]]="BL",1,IF(DataTable[[#This Row],[explanation1]]="BR",1,IF(DataTable[[#This Row],[explanation2]]="BR",1,0))))</f>
        <v>0</v>
      </c>
      <c r="Z38" s="18">
        <f>IF(DataTable[[#This Row],[explanation1]]="BL",1,IF(DataTable[[#This Row],[explanation2]]="BL",1,0))</f>
        <v>0</v>
      </c>
      <c r="AA38" s="18">
        <f>IF(DataTable[[#This Row],[explanation1]]="WJ",1,IF(DataTable[[#This Row],[explanation2]]="WJ",1,0))</f>
        <v>0</v>
      </c>
      <c r="AB38" s="18">
        <f>IF(DataTable[[#This Row],[explanation1]]="U",1,IF(DataTable[[#This Row],[explanation2]]="U",1,0))</f>
        <v>1</v>
      </c>
      <c r="AC38" s="18">
        <f>IF(DataTable[[#This Row],[explanation1]]="O",1,IF(DataTable[[#This Row],[explanation2]]="O",1,0))</f>
        <v>0</v>
      </c>
      <c r="AD38" s="18">
        <f>IF(DataTable[[#This Row],[explanation1]]="TP",1,IF(DataTable[[#This Row],[explanation2]]="TP",1,0))</f>
        <v>0</v>
      </c>
      <c r="AE38" s="18">
        <f>IF(DataTable[[#This Row],[explanation1]]="WP",1,IF(DataTable[[#This Row],[explanation2]]="WP",1,0))</f>
        <v>0</v>
      </c>
      <c r="AF38" s="18">
        <f>IF(DataTable[[#This Row],[explanation1]]="BR",1,IF(DataTable[[#This Row],[explanation2]]="BR",1,0))</f>
        <v>0</v>
      </c>
      <c r="AG38" s="18">
        <f>IF(DataTable[[#This Row],[explanation1]]="LS",1,IF(DataTable[[#This Row],[explanation2]]="LS",1,0))</f>
        <v>0</v>
      </c>
      <c r="AH38" s="29" t="s">
        <v>119</v>
      </c>
    </row>
    <row r="39" spans="1:34" x14ac:dyDescent="0.2">
      <c r="A39" s="13">
        <v>37</v>
      </c>
      <c r="B39" s="14" t="s">
        <v>68</v>
      </c>
      <c r="C39" s="15" t="s">
        <v>45</v>
      </c>
      <c r="D39" s="16">
        <v>50</v>
      </c>
      <c r="E39" s="14" t="s">
        <v>46</v>
      </c>
      <c r="F39" s="16">
        <v>25</v>
      </c>
      <c r="G39" s="14" t="s">
        <v>47</v>
      </c>
      <c r="H39" s="15" t="s">
        <v>48</v>
      </c>
      <c r="I39" s="16" t="str">
        <f t="shared" si="0"/>
        <v>R</v>
      </c>
      <c r="J39" s="14" t="s">
        <v>49</v>
      </c>
      <c r="K39" s="16" t="s">
        <v>78</v>
      </c>
      <c r="L39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39" s="15">
        <f>IF(DataTable[[#This Row],[3x head (H)/tail (T)?]]=DataTable[[#This Row],[then 4th: H/T/B/0]],1,0)</f>
        <v>0</v>
      </c>
      <c r="N39" s="15">
        <f>IF(DataTable[[#This Row],[then 4th: H/T/B/0]]="B",1,0)</f>
        <v>0</v>
      </c>
      <c r="O39" s="14" t="s">
        <v>101</v>
      </c>
      <c r="P39" s="15">
        <v>14</v>
      </c>
      <c r="Q39" s="17" t="s">
        <v>118</v>
      </c>
      <c r="R39" s="16" t="s">
        <v>53</v>
      </c>
      <c r="S39" s="18" t="s">
        <v>75</v>
      </c>
      <c r="T39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9" s="19" t="s">
        <v>76</v>
      </c>
      <c r="V39" s="20" t="s">
        <v>9</v>
      </c>
      <c r="W39" s="20"/>
      <c r="X39" s="18"/>
      <c r="Y39" s="18">
        <f>IF(DataTable[[#This Row],[explanation1]]="BL",1,IF(DataTable[[#This Row],[explanation2]]="BL",1,IF(DataTable[[#This Row],[explanation1]]="BR",1,IF(DataTable[[#This Row],[explanation2]]="BR",1,0))))</f>
        <v>0</v>
      </c>
      <c r="Z39" s="18">
        <f>IF(DataTable[[#This Row],[explanation1]]="BL",1,IF(DataTable[[#This Row],[explanation2]]="BL",1,0))</f>
        <v>0</v>
      </c>
      <c r="AA39" s="18">
        <f>IF(DataTable[[#This Row],[explanation1]]="WJ",1,IF(DataTable[[#This Row],[explanation2]]="WJ",1,0))</f>
        <v>0</v>
      </c>
      <c r="AB39" s="18">
        <f>IF(DataTable[[#This Row],[explanation1]]="U",1,IF(DataTable[[#This Row],[explanation2]]="U",1,0))</f>
        <v>0</v>
      </c>
      <c r="AC39" s="18">
        <f>IF(DataTable[[#This Row],[explanation1]]="O",1,IF(DataTable[[#This Row],[explanation2]]="O",1,0))</f>
        <v>1</v>
      </c>
      <c r="AD39" s="18">
        <f>IF(DataTable[[#This Row],[explanation1]]="TP",1,IF(DataTable[[#This Row],[explanation2]]="TP",1,0))</f>
        <v>0</v>
      </c>
      <c r="AE39" s="18">
        <f>IF(DataTable[[#This Row],[explanation1]]="WP",1,IF(DataTable[[#This Row],[explanation2]]="WP",1,0))</f>
        <v>0</v>
      </c>
      <c r="AF39" s="18">
        <f>IF(DataTable[[#This Row],[explanation1]]="BR",1,IF(DataTable[[#This Row],[explanation2]]="BR",1,0))</f>
        <v>0</v>
      </c>
      <c r="AG39" s="18">
        <f>IF(DataTable[[#This Row],[explanation1]]="LS",1,IF(DataTable[[#This Row],[explanation2]]="LS",1,0))</f>
        <v>0</v>
      </c>
      <c r="AH39" s="20" t="s">
        <v>120</v>
      </c>
    </row>
    <row r="40" spans="1:34" x14ac:dyDescent="0.2">
      <c r="A40" s="22">
        <v>38</v>
      </c>
      <c r="B40" s="23" t="s">
        <v>70</v>
      </c>
      <c r="C40" s="24" t="s">
        <v>45</v>
      </c>
      <c r="D40" s="25">
        <v>50</v>
      </c>
      <c r="E40" s="23" t="s">
        <v>46</v>
      </c>
      <c r="F40" s="25">
        <v>37</v>
      </c>
      <c r="G40" s="23" t="s">
        <v>47</v>
      </c>
      <c r="H40" s="24" t="s">
        <v>48</v>
      </c>
      <c r="I40" s="25" t="str">
        <f t="shared" si="0"/>
        <v>R</v>
      </c>
      <c r="J40" s="23" t="s">
        <v>49</v>
      </c>
      <c r="K40" s="25" t="s">
        <v>49</v>
      </c>
      <c r="L40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0" s="24">
        <f>IF(DataTable[[#This Row],[3x head (H)/tail (T)?]]=DataTable[[#This Row],[then 4th: H/T/B/0]],1,0)</f>
        <v>1</v>
      </c>
      <c r="N40" s="24">
        <f>IF(DataTable[[#This Row],[then 4th: H/T/B/0]]="B",1,0)</f>
        <v>0</v>
      </c>
      <c r="O40" s="23" t="s">
        <v>101</v>
      </c>
      <c r="P40" s="24">
        <v>14</v>
      </c>
      <c r="Q40" s="26" t="s">
        <v>118</v>
      </c>
      <c r="R40" s="25" t="s">
        <v>53</v>
      </c>
      <c r="S40" s="27" t="s">
        <v>75</v>
      </c>
      <c r="T40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0" s="28" t="s">
        <v>76</v>
      </c>
      <c r="V40" s="29" t="s">
        <v>6</v>
      </c>
      <c r="W40" s="29"/>
      <c r="X40" s="27"/>
      <c r="Y40" s="27">
        <f>IF(DataTable[[#This Row],[explanation1]]="BL",1,IF(DataTable[[#This Row],[explanation2]]="BL",1,IF(DataTable[[#This Row],[explanation1]]="BR",1,IF(DataTable[[#This Row],[explanation2]]="BR",1,0))))</f>
        <v>1</v>
      </c>
      <c r="Z40" s="18">
        <f>IF(DataTable[[#This Row],[explanation1]]="BL",1,IF(DataTable[[#This Row],[explanation2]]="BL",1,0))</f>
        <v>1</v>
      </c>
      <c r="AA40" s="18">
        <f>IF(DataTable[[#This Row],[explanation1]]="WJ",1,IF(DataTable[[#This Row],[explanation2]]="WJ",1,0))</f>
        <v>0</v>
      </c>
      <c r="AB40" s="18">
        <f>IF(DataTable[[#This Row],[explanation1]]="U",1,IF(DataTable[[#This Row],[explanation2]]="U",1,0))</f>
        <v>0</v>
      </c>
      <c r="AC40" s="18">
        <f>IF(DataTable[[#This Row],[explanation1]]="O",1,IF(DataTable[[#This Row],[explanation2]]="O",1,0))</f>
        <v>0</v>
      </c>
      <c r="AD40" s="18">
        <f>IF(DataTable[[#This Row],[explanation1]]="TP",1,IF(DataTable[[#This Row],[explanation2]]="TP",1,0))</f>
        <v>0</v>
      </c>
      <c r="AE40" s="18">
        <f>IF(DataTable[[#This Row],[explanation1]]="WP",1,IF(DataTable[[#This Row],[explanation2]]="WP",1,0))</f>
        <v>0</v>
      </c>
      <c r="AF40" s="18">
        <f>IF(DataTable[[#This Row],[explanation1]]="BR",1,IF(DataTable[[#This Row],[explanation2]]="BR",1,0))</f>
        <v>0</v>
      </c>
      <c r="AG40" s="18">
        <f>IF(DataTable[[#This Row],[explanation1]]="LS",1,IF(DataTable[[#This Row],[explanation2]]="LS",1,0))</f>
        <v>0</v>
      </c>
      <c r="AH40" s="29" t="s">
        <v>67</v>
      </c>
    </row>
    <row r="41" spans="1:34" x14ac:dyDescent="0.2">
      <c r="A41" s="13">
        <v>39</v>
      </c>
      <c r="B41" s="14" t="s">
        <v>44</v>
      </c>
      <c r="C41" s="15" t="s">
        <v>74</v>
      </c>
      <c r="D41" s="16">
        <v>50</v>
      </c>
      <c r="E41" s="14" t="s">
        <v>58</v>
      </c>
      <c r="F41" s="16">
        <v>84</v>
      </c>
      <c r="G41" s="14" t="s">
        <v>47</v>
      </c>
      <c r="H41" s="15" t="s">
        <v>48</v>
      </c>
      <c r="I41" s="16" t="str">
        <f t="shared" si="0"/>
        <v>R</v>
      </c>
      <c r="J41" s="14" t="s">
        <v>49</v>
      </c>
      <c r="K41" s="16" t="s">
        <v>49</v>
      </c>
      <c r="L41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1" s="15">
        <f>IF(DataTable[[#This Row],[3x head (H)/tail (T)?]]=DataTable[[#This Row],[then 4th: H/T/B/0]],1,0)</f>
        <v>1</v>
      </c>
      <c r="N41" s="15">
        <f>IF(DataTable[[#This Row],[then 4th: H/T/B/0]]="B",1,0)</f>
        <v>0</v>
      </c>
      <c r="O41" s="14" t="s">
        <v>101</v>
      </c>
      <c r="P41" s="15">
        <v>14</v>
      </c>
      <c r="Q41" s="17" t="s">
        <v>118</v>
      </c>
      <c r="R41" s="16" t="s">
        <v>53</v>
      </c>
      <c r="S41" s="18" t="s">
        <v>75</v>
      </c>
      <c r="T41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1" s="19" t="s">
        <v>76</v>
      </c>
      <c r="V41" s="20" t="s">
        <v>9</v>
      </c>
      <c r="W41" s="20"/>
      <c r="X41" s="18"/>
      <c r="Y41" s="18">
        <f>IF(DataTable[[#This Row],[explanation1]]="BL",1,IF(DataTable[[#This Row],[explanation2]]="BL",1,IF(DataTable[[#This Row],[explanation1]]="BR",1,IF(DataTable[[#This Row],[explanation2]]="BR",1,0))))</f>
        <v>0</v>
      </c>
      <c r="Z41" s="18">
        <f>IF(DataTable[[#This Row],[explanation1]]="BL",1,IF(DataTable[[#This Row],[explanation2]]="BL",1,0))</f>
        <v>0</v>
      </c>
      <c r="AA41" s="18">
        <f>IF(DataTable[[#This Row],[explanation1]]="WJ",1,IF(DataTable[[#This Row],[explanation2]]="WJ",1,0))</f>
        <v>0</v>
      </c>
      <c r="AB41" s="18">
        <f>IF(DataTable[[#This Row],[explanation1]]="U",1,IF(DataTable[[#This Row],[explanation2]]="U",1,0))</f>
        <v>0</v>
      </c>
      <c r="AC41" s="18">
        <f>IF(DataTable[[#This Row],[explanation1]]="O",1,IF(DataTable[[#This Row],[explanation2]]="O",1,0))</f>
        <v>1</v>
      </c>
      <c r="AD41" s="18">
        <f>IF(DataTable[[#This Row],[explanation1]]="TP",1,IF(DataTable[[#This Row],[explanation2]]="TP",1,0))</f>
        <v>0</v>
      </c>
      <c r="AE41" s="18">
        <f>IF(DataTable[[#This Row],[explanation1]]="WP",1,IF(DataTable[[#This Row],[explanation2]]="WP",1,0))</f>
        <v>0</v>
      </c>
      <c r="AF41" s="18">
        <f>IF(DataTable[[#This Row],[explanation1]]="BR",1,IF(DataTable[[#This Row],[explanation2]]="BR",1,0))</f>
        <v>0</v>
      </c>
      <c r="AG41" s="18">
        <f>IF(DataTable[[#This Row],[explanation1]]="LS",1,IF(DataTable[[#This Row],[explanation2]]="LS",1,0))</f>
        <v>0</v>
      </c>
      <c r="AH41" s="20" t="s">
        <v>121</v>
      </c>
    </row>
    <row r="42" spans="1:34" x14ac:dyDescent="0.2">
      <c r="A42" s="22">
        <v>40</v>
      </c>
      <c r="B42" s="23" t="s">
        <v>57</v>
      </c>
      <c r="C42" s="24" t="s">
        <v>74</v>
      </c>
      <c r="D42" s="25">
        <v>50</v>
      </c>
      <c r="E42" s="23" t="s">
        <v>58</v>
      </c>
      <c r="F42" s="25">
        <v>73</v>
      </c>
      <c r="G42" s="23" t="s">
        <v>47</v>
      </c>
      <c r="H42" s="24" t="s">
        <v>81</v>
      </c>
      <c r="I42" s="25" t="str">
        <f t="shared" si="0"/>
        <v>H1</v>
      </c>
      <c r="J42" s="23" t="s">
        <v>49</v>
      </c>
      <c r="K42" s="25" t="s">
        <v>49</v>
      </c>
      <c r="L42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2" s="24">
        <f>IF(DataTable[[#This Row],[3x head (H)/tail (T)?]]=DataTable[[#This Row],[then 4th: H/T/B/0]],1,0)</f>
        <v>1</v>
      </c>
      <c r="N42" s="24">
        <f>IF(DataTable[[#This Row],[then 4th: H/T/B/0]]="B",1,0)</f>
        <v>0</v>
      </c>
      <c r="O42" s="23" t="s">
        <v>101</v>
      </c>
      <c r="P42" s="24">
        <v>14</v>
      </c>
      <c r="Q42" s="26" t="s">
        <v>118</v>
      </c>
      <c r="R42" s="25" t="s">
        <v>53</v>
      </c>
      <c r="S42" s="27" t="s">
        <v>61</v>
      </c>
      <c r="T42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4</v>
      </c>
      <c r="U42" s="28" t="s">
        <v>122</v>
      </c>
      <c r="V42" s="29" t="s">
        <v>8</v>
      </c>
      <c r="W42" s="29"/>
      <c r="X42" s="29" t="s">
        <v>123</v>
      </c>
      <c r="Y42" s="29">
        <f>IF(DataTable[[#This Row],[explanation1]]="BL",1,IF(DataTable[[#This Row],[explanation2]]="BL",1,IF(DataTable[[#This Row],[explanation1]]="BR",1,IF(DataTable[[#This Row],[explanation2]]="BR",1,0))))</f>
        <v>0</v>
      </c>
      <c r="Z42" s="18">
        <f>IF(DataTable[[#This Row],[explanation1]]="BL",1,IF(DataTable[[#This Row],[explanation2]]="BL",1,0))</f>
        <v>0</v>
      </c>
      <c r="AA42" s="18">
        <f>IF(DataTable[[#This Row],[explanation1]]="WJ",1,IF(DataTable[[#This Row],[explanation2]]="WJ",1,0))</f>
        <v>0</v>
      </c>
      <c r="AB42" s="18">
        <f>IF(DataTable[[#This Row],[explanation1]]="U",1,IF(DataTable[[#This Row],[explanation2]]="U",1,0))</f>
        <v>1</v>
      </c>
      <c r="AC42" s="18">
        <f>IF(DataTable[[#This Row],[explanation1]]="O",1,IF(DataTable[[#This Row],[explanation2]]="O",1,0))</f>
        <v>0</v>
      </c>
      <c r="AD42" s="18">
        <f>IF(DataTable[[#This Row],[explanation1]]="TP",1,IF(DataTable[[#This Row],[explanation2]]="TP",1,0))</f>
        <v>0</v>
      </c>
      <c r="AE42" s="18">
        <f>IF(DataTable[[#This Row],[explanation1]]="WP",1,IF(DataTable[[#This Row],[explanation2]]="WP",1,0))</f>
        <v>0</v>
      </c>
      <c r="AF42" s="18">
        <f>IF(DataTable[[#This Row],[explanation1]]="BR",1,IF(DataTable[[#This Row],[explanation2]]="BR",1,0))</f>
        <v>0</v>
      </c>
      <c r="AG42" s="18">
        <f>IF(DataTable[[#This Row],[explanation1]]="LS",1,IF(DataTable[[#This Row],[explanation2]]="LS",1,0))</f>
        <v>0</v>
      </c>
      <c r="AH42" s="29" t="s">
        <v>124</v>
      </c>
    </row>
    <row r="43" spans="1:34" x14ac:dyDescent="0.2">
      <c r="A43" s="13">
        <v>41</v>
      </c>
      <c r="B43" s="14" t="s">
        <v>64</v>
      </c>
      <c r="C43" s="15" t="s">
        <v>74</v>
      </c>
      <c r="D43" s="16">
        <v>50</v>
      </c>
      <c r="E43" s="14" t="s">
        <v>46</v>
      </c>
      <c r="F43" s="16">
        <v>46</v>
      </c>
      <c r="G43" s="14" t="s">
        <v>64</v>
      </c>
      <c r="H43" s="15" t="s">
        <v>48</v>
      </c>
      <c r="I43" s="16" t="str">
        <f t="shared" si="0"/>
        <v>M1</v>
      </c>
      <c r="J43" s="14" t="s">
        <v>78</v>
      </c>
      <c r="K43" s="16" t="s">
        <v>50</v>
      </c>
      <c r="L43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3" s="15">
        <f>IF(DataTable[[#This Row],[3x head (H)/tail (T)?]]=DataTable[[#This Row],[then 4th: H/T/B/0]],1,0)</f>
        <v>0</v>
      </c>
      <c r="N43" s="15">
        <f>IF(DataTable[[#This Row],[then 4th: H/T/B/0]]="B",1,0)</f>
        <v>1</v>
      </c>
      <c r="O43" s="14" t="s">
        <v>101</v>
      </c>
      <c r="P43" s="15">
        <v>14</v>
      </c>
      <c r="Q43" s="17" t="s">
        <v>118</v>
      </c>
      <c r="R43" s="16" t="s">
        <v>53</v>
      </c>
      <c r="S43" s="18" t="s">
        <v>54</v>
      </c>
      <c r="T43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43" s="19" t="s">
        <v>55</v>
      </c>
      <c r="V43" s="32" t="s">
        <v>13</v>
      </c>
      <c r="W43" s="32" t="s">
        <v>8</v>
      </c>
      <c r="X43" s="18"/>
      <c r="Y43" s="18">
        <f>IF(DataTable[[#This Row],[explanation1]]="BL",1,IF(DataTable[[#This Row],[explanation2]]="BL",1,IF(DataTable[[#This Row],[explanation1]]="BR",1,IF(DataTable[[#This Row],[explanation2]]="BR",1,0))))</f>
        <v>0</v>
      </c>
      <c r="Z43" s="18">
        <f>IF(DataTable[[#This Row],[explanation1]]="BL",1,IF(DataTable[[#This Row],[explanation2]]="BL",1,0))</f>
        <v>0</v>
      </c>
      <c r="AA43" s="18">
        <f>IF(DataTable[[#This Row],[explanation1]]="WJ",1,IF(DataTable[[#This Row],[explanation2]]="WJ",1,0))</f>
        <v>0</v>
      </c>
      <c r="AB43" s="18">
        <f>IF(DataTable[[#This Row],[explanation1]]="U",1,IF(DataTable[[#This Row],[explanation2]]="U",1,0))</f>
        <v>1</v>
      </c>
      <c r="AC43" s="18">
        <f>IF(DataTable[[#This Row],[explanation1]]="O",1,IF(DataTable[[#This Row],[explanation2]]="O",1,0))</f>
        <v>0</v>
      </c>
      <c r="AD43" s="18">
        <f>IF(DataTable[[#This Row],[explanation1]]="TP",1,IF(DataTable[[#This Row],[explanation2]]="TP",1,0))</f>
        <v>0</v>
      </c>
      <c r="AE43" s="18">
        <f>IF(DataTable[[#This Row],[explanation1]]="WP",1,IF(DataTable[[#This Row],[explanation2]]="WP",1,0))</f>
        <v>0</v>
      </c>
      <c r="AF43" s="18">
        <f>IF(DataTable[[#This Row],[explanation1]]="BR",1,IF(DataTable[[#This Row],[explanation2]]="BR",1,0))</f>
        <v>0</v>
      </c>
      <c r="AG43" s="18">
        <f>IF(DataTable[[#This Row],[explanation1]]="LS",1,IF(DataTable[[#This Row],[explanation2]]="LS",1,0))</f>
        <v>1</v>
      </c>
      <c r="AH43" s="20" t="s">
        <v>125</v>
      </c>
    </row>
    <row r="44" spans="1:34" x14ac:dyDescent="0.2">
      <c r="A44" s="22">
        <v>42</v>
      </c>
      <c r="B44" s="23" t="s">
        <v>60</v>
      </c>
      <c r="C44" s="24" t="s">
        <v>74</v>
      </c>
      <c r="D44" s="25">
        <v>50</v>
      </c>
      <c r="E44" s="23" t="s">
        <v>46</v>
      </c>
      <c r="F44" s="25">
        <v>9</v>
      </c>
      <c r="G44" s="23" t="s">
        <v>47</v>
      </c>
      <c r="H44" s="24" t="s">
        <v>48</v>
      </c>
      <c r="I44" s="25" t="str">
        <f t="shared" si="0"/>
        <v>R</v>
      </c>
      <c r="J44" s="23" t="s">
        <v>78</v>
      </c>
      <c r="K44" s="25">
        <v>0</v>
      </c>
      <c r="L44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4" s="24">
        <f>IF(DataTable[[#This Row],[3x head (H)/tail (T)?]]=DataTable[[#This Row],[then 4th: H/T/B/0]],1,0)</f>
        <v>0</v>
      </c>
      <c r="N44" s="24">
        <f>IF(DataTable[[#This Row],[then 4th: H/T/B/0]]="B",1,0)</f>
        <v>0</v>
      </c>
      <c r="O44" s="23" t="s">
        <v>101</v>
      </c>
      <c r="P44" s="24">
        <v>14</v>
      </c>
      <c r="Q44" s="26" t="s">
        <v>118</v>
      </c>
      <c r="R44" s="25" t="s">
        <v>53</v>
      </c>
      <c r="S44" s="27" t="s">
        <v>75</v>
      </c>
      <c r="T44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4" s="28" t="s">
        <v>76</v>
      </c>
      <c r="V44" s="29" t="s">
        <v>8</v>
      </c>
      <c r="W44" s="29"/>
      <c r="X44" s="27"/>
      <c r="Y44" s="27">
        <f>IF(DataTable[[#This Row],[explanation1]]="BL",1,IF(DataTable[[#This Row],[explanation2]]="BL",1,IF(DataTable[[#This Row],[explanation1]]="BR",1,IF(DataTable[[#This Row],[explanation2]]="BR",1,0))))</f>
        <v>0</v>
      </c>
      <c r="Z44" s="18">
        <f>IF(DataTable[[#This Row],[explanation1]]="BL",1,IF(DataTable[[#This Row],[explanation2]]="BL",1,0))</f>
        <v>0</v>
      </c>
      <c r="AA44" s="18">
        <f>IF(DataTable[[#This Row],[explanation1]]="WJ",1,IF(DataTable[[#This Row],[explanation2]]="WJ",1,0))</f>
        <v>0</v>
      </c>
      <c r="AB44" s="18">
        <f>IF(DataTable[[#This Row],[explanation1]]="U",1,IF(DataTable[[#This Row],[explanation2]]="U",1,0))</f>
        <v>1</v>
      </c>
      <c r="AC44" s="18">
        <f>IF(DataTable[[#This Row],[explanation1]]="O",1,IF(DataTable[[#This Row],[explanation2]]="O",1,0))</f>
        <v>0</v>
      </c>
      <c r="AD44" s="18">
        <f>IF(DataTable[[#This Row],[explanation1]]="TP",1,IF(DataTable[[#This Row],[explanation2]]="TP",1,0))</f>
        <v>0</v>
      </c>
      <c r="AE44" s="18">
        <f>IF(DataTable[[#This Row],[explanation1]]="WP",1,IF(DataTable[[#This Row],[explanation2]]="WP",1,0))</f>
        <v>0</v>
      </c>
      <c r="AF44" s="18">
        <f>IF(DataTable[[#This Row],[explanation1]]="BR",1,IF(DataTable[[#This Row],[explanation2]]="BR",1,0))</f>
        <v>0</v>
      </c>
      <c r="AG44" s="18">
        <f>IF(DataTable[[#This Row],[explanation1]]="LS",1,IF(DataTable[[#This Row],[explanation2]]="LS",1,0))</f>
        <v>0</v>
      </c>
      <c r="AH44" s="29" t="s">
        <v>126</v>
      </c>
    </row>
    <row r="45" spans="1:34" x14ac:dyDescent="0.2">
      <c r="A45" s="13">
        <v>43</v>
      </c>
      <c r="B45" s="14" t="s">
        <v>68</v>
      </c>
      <c r="C45" s="15" t="s">
        <v>74</v>
      </c>
      <c r="D45" s="16">
        <v>50</v>
      </c>
      <c r="E45" s="14" t="s">
        <v>46</v>
      </c>
      <c r="F45" s="16">
        <v>33</v>
      </c>
      <c r="G45" s="14" t="s">
        <v>47</v>
      </c>
      <c r="H45" s="15" t="s">
        <v>48</v>
      </c>
      <c r="I45" s="16" t="str">
        <f t="shared" si="0"/>
        <v>R</v>
      </c>
      <c r="J45" s="14" t="s">
        <v>78</v>
      </c>
      <c r="K45" s="16" t="s">
        <v>50</v>
      </c>
      <c r="L45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5" s="15">
        <f>IF(DataTable[[#This Row],[3x head (H)/tail (T)?]]=DataTable[[#This Row],[then 4th: H/T/B/0]],1,0)</f>
        <v>0</v>
      </c>
      <c r="N45" s="15">
        <f>IF(DataTable[[#This Row],[then 4th: H/T/B/0]]="B",1,0)</f>
        <v>1</v>
      </c>
      <c r="O45" s="14" t="s">
        <v>101</v>
      </c>
      <c r="P45" s="15">
        <v>14</v>
      </c>
      <c r="Q45" s="17" t="s">
        <v>118</v>
      </c>
      <c r="R45" s="16" t="s">
        <v>53</v>
      </c>
      <c r="S45" s="18" t="s">
        <v>75</v>
      </c>
      <c r="T45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5" s="19" t="s">
        <v>76</v>
      </c>
      <c r="V45" s="33" t="s">
        <v>9</v>
      </c>
      <c r="W45" s="33"/>
      <c r="X45" s="18"/>
      <c r="Y45" s="18">
        <f>IF(DataTable[[#This Row],[explanation1]]="BL",1,IF(DataTable[[#This Row],[explanation2]]="BL",1,IF(DataTable[[#This Row],[explanation1]]="BR",1,IF(DataTable[[#This Row],[explanation2]]="BR",1,0))))</f>
        <v>0</v>
      </c>
      <c r="Z45" s="18">
        <f>IF(DataTable[[#This Row],[explanation1]]="BL",1,IF(DataTable[[#This Row],[explanation2]]="BL",1,0))</f>
        <v>0</v>
      </c>
      <c r="AA45" s="18">
        <f>IF(DataTable[[#This Row],[explanation1]]="WJ",1,IF(DataTable[[#This Row],[explanation2]]="WJ",1,0))</f>
        <v>0</v>
      </c>
      <c r="AB45" s="18">
        <f>IF(DataTable[[#This Row],[explanation1]]="U",1,IF(DataTable[[#This Row],[explanation2]]="U",1,0))</f>
        <v>0</v>
      </c>
      <c r="AC45" s="18">
        <f>IF(DataTable[[#This Row],[explanation1]]="O",1,IF(DataTable[[#This Row],[explanation2]]="O",1,0))</f>
        <v>1</v>
      </c>
      <c r="AD45" s="18">
        <f>IF(DataTable[[#This Row],[explanation1]]="TP",1,IF(DataTable[[#This Row],[explanation2]]="TP",1,0))</f>
        <v>0</v>
      </c>
      <c r="AE45" s="18">
        <f>IF(DataTable[[#This Row],[explanation1]]="WP",1,IF(DataTable[[#This Row],[explanation2]]="WP",1,0))</f>
        <v>0</v>
      </c>
      <c r="AF45" s="18">
        <f>IF(DataTable[[#This Row],[explanation1]]="BR",1,IF(DataTable[[#This Row],[explanation2]]="BR",1,0))</f>
        <v>0</v>
      </c>
      <c r="AG45" s="18">
        <f>IF(DataTable[[#This Row],[explanation1]]="LS",1,IF(DataTable[[#This Row],[explanation2]]="LS",1,0))</f>
        <v>0</v>
      </c>
      <c r="AH45" s="34" t="s">
        <v>127</v>
      </c>
    </row>
    <row r="46" spans="1:34" x14ac:dyDescent="0.2">
      <c r="A46" s="22">
        <v>44</v>
      </c>
      <c r="B46" s="23" t="s">
        <v>70</v>
      </c>
      <c r="C46" s="24" t="s">
        <v>45</v>
      </c>
      <c r="D46" s="25">
        <v>1</v>
      </c>
      <c r="E46" s="23" t="s">
        <v>58</v>
      </c>
      <c r="F46" s="25">
        <v>25</v>
      </c>
      <c r="G46" s="23" t="s">
        <v>70</v>
      </c>
      <c r="H46" s="24" t="s">
        <v>48</v>
      </c>
      <c r="I46" s="25" t="str">
        <f t="shared" si="0"/>
        <v>M5</v>
      </c>
      <c r="J46" s="23" t="s">
        <v>49</v>
      </c>
      <c r="K46" s="25" t="s">
        <v>50</v>
      </c>
      <c r="L46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6" s="24">
        <f>IF(DataTable[[#This Row],[3x head (H)/tail (T)?]]=DataTable[[#This Row],[then 4th: H/T/B/0]],1,0)</f>
        <v>0</v>
      </c>
      <c r="N46" s="24">
        <f>IF(DataTable[[#This Row],[then 4th: H/T/B/0]]="B",1,0)</f>
        <v>1</v>
      </c>
      <c r="O46" s="23" t="s">
        <v>101</v>
      </c>
      <c r="P46" s="24">
        <v>21</v>
      </c>
      <c r="Q46" s="26" t="s">
        <v>118</v>
      </c>
      <c r="R46" s="25" t="s">
        <v>53</v>
      </c>
      <c r="S46" s="27" t="s">
        <v>54</v>
      </c>
      <c r="T46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46" s="28" t="s">
        <v>55</v>
      </c>
      <c r="V46" s="29" t="s">
        <v>13</v>
      </c>
      <c r="W46" s="29"/>
      <c r="X46" s="27"/>
      <c r="Y46" s="27">
        <f>IF(DataTable[[#This Row],[explanation1]]="BL",1,IF(DataTable[[#This Row],[explanation2]]="BL",1,IF(DataTable[[#This Row],[explanation1]]="BR",1,IF(DataTable[[#This Row],[explanation2]]="BR",1,0))))</f>
        <v>0</v>
      </c>
      <c r="Z46" s="18">
        <f>IF(DataTable[[#This Row],[explanation1]]="BL",1,IF(DataTable[[#This Row],[explanation2]]="BL",1,0))</f>
        <v>0</v>
      </c>
      <c r="AA46" s="18">
        <f>IF(DataTable[[#This Row],[explanation1]]="WJ",1,IF(DataTable[[#This Row],[explanation2]]="WJ",1,0))</f>
        <v>0</v>
      </c>
      <c r="AB46" s="18">
        <f>IF(DataTable[[#This Row],[explanation1]]="U",1,IF(DataTable[[#This Row],[explanation2]]="U",1,0))</f>
        <v>0</v>
      </c>
      <c r="AC46" s="18">
        <f>IF(DataTable[[#This Row],[explanation1]]="O",1,IF(DataTable[[#This Row],[explanation2]]="O",1,0))</f>
        <v>0</v>
      </c>
      <c r="AD46" s="18">
        <f>IF(DataTable[[#This Row],[explanation1]]="TP",1,IF(DataTable[[#This Row],[explanation2]]="TP",1,0))</f>
        <v>0</v>
      </c>
      <c r="AE46" s="18">
        <f>IF(DataTable[[#This Row],[explanation1]]="WP",1,IF(DataTable[[#This Row],[explanation2]]="WP",1,0))</f>
        <v>0</v>
      </c>
      <c r="AF46" s="18">
        <f>IF(DataTable[[#This Row],[explanation1]]="BR",1,IF(DataTable[[#This Row],[explanation2]]="BR",1,0))</f>
        <v>0</v>
      </c>
      <c r="AG46" s="18">
        <f>IF(DataTable[[#This Row],[explanation1]]="LS",1,IF(DataTable[[#This Row],[explanation2]]="LS",1,0))</f>
        <v>1</v>
      </c>
      <c r="AH46" s="29" t="s">
        <v>128</v>
      </c>
    </row>
    <row r="47" spans="1:34" x14ac:dyDescent="0.2">
      <c r="A47" s="13">
        <v>45</v>
      </c>
      <c r="B47" s="14" t="s">
        <v>68</v>
      </c>
      <c r="C47" s="15" t="s">
        <v>45</v>
      </c>
      <c r="D47" s="16">
        <v>50</v>
      </c>
      <c r="E47" s="14" t="s">
        <v>58</v>
      </c>
      <c r="F47" s="16">
        <v>38</v>
      </c>
      <c r="G47" s="14" t="s">
        <v>68</v>
      </c>
      <c r="H47" s="15" t="s">
        <v>48</v>
      </c>
      <c r="I47" s="16" t="str">
        <f t="shared" si="0"/>
        <v>H5</v>
      </c>
      <c r="J47" s="14" t="s">
        <v>49</v>
      </c>
      <c r="K47" s="16" t="s">
        <v>50</v>
      </c>
      <c r="L47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7" s="15">
        <f>IF(DataTable[[#This Row],[3x head (H)/tail (T)?]]=DataTable[[#This Row],[then 4th: H/T/B/0]],1,0)</f>
        <v>0</v>
      </c>
      <c r="N47" s="15">
        <f>IF(DataTable[[#This Row],[then 4th: H/T/B/0]]="B",1,0)</f>
        <v>1</v>
      </c>
      <c r="O47" s="14" t="s">
        <v>101</v>
      </c>
      <c r="P47" s="15">
        <v>21</v>
      </c>
      <c r="Q47" s="17" t="s">
        <v>118</v>
      </c>
      <c r="R47" s="16" t="s">
        <v>53</v>
      </c>
      <c r="S47" s="18" t="s">
        <v>65</v>
      </c>
      <c r="T47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47" s="19" t="s">
        <v>129</v>
      </c>
      <c r="V47" s="20" t="s">
        <v>13</v>
      </c>
      <c r="W47" s="20"/>
      <c r="X47" s="18"/>
      <c r="Y47" s="18">
        <f>IF(DataTable[[#This Row],[explanation1]]="BL",1,IF(DataTable[[#This Row],[explanation2]]="BL",1,IF(DataTable[[#This Row],[explanation1]]="BR",1,IF(DataTable[[#This Row],[explanation2]]="BR",1,0))))</f>
        <v>0</v>
      </c>
      <c r="Z47" s="18">
        <f>IF(DataTable[[#This Row],[explanation1]]="BL",1,IF(DataTable[[#This Row],[explanation2]]="BL",1,0))</f>
        <v>0</v>
      </c>
      <c r="AA47" s="18">
        <f>IF(DataTable[[#This Row],[explanation1]]="WJ",1,IF(DataTable[[#This Row],[explanation2]]="WJ",1,0))</f>
        <v>0</v>
      </c>
      <c r="AB47" s="18">
        <f>IF(DataTable[[#This Row],[explanation1]]="U",1,IF(DataTable[[#This Row],[explanation2]]="U",1,0))</f>
        <v>0</v>
      </c>
      <c r="AC47" s="18">
        <f>IF(DataTable[[#This Row],[explanation1]]="O",1,IF(DataTable[[#This Row],[explanation2]]="O",1,0))</f>
        <v>0</v>
      </c>
      <c r="AD47" s="18">
        <f>IF(DataTable[[#This Row],[explanation1]]="TP",1,IF(DataTable[[#This Row],[explanation2]]="TP",1,0))</f>
        <v>0</v>
      </c>
      <c r="AE47" s="18">
        <f>IF(DataTable[[#This Row],[explanation1]]="WP",1,IF(DataTable[[#This Row],[explanation2]]="WP",1,0))</f>
        <v>0</v>
      </c>
      <c r="AF47" s="18">
        <f>IF(DataTable[[#This Row],[explanation1]]="BR",1,IF(DataTable[[#This Row],[explanation2]]="BR",1,0))</f>
        <v>0</v>
      </c>
      <c r="AG47" s="18">
        <f>IF(DataTable[[#This Row],[explanation1]]="LS",1,IF(DataTable[[#This Row],[explanation2]]="LS",1,0))</f>
        <v>1</v>
      </c>
      <c r="AH47" s="20" t="s">
        <v>13</v>
      </c>
    </row>
    <row r="48" spans="1:34" x14ac:dyDescent="0.2">
      <c r="A48" s="22">
        <v>46</v>
      </c>
      <c r="B48" s="23" t="s">
        <v>44</v>
      </c>
      <c r="C48" s="24" t="s">
        <v>74</v>
      </c>
      <c r="D48" s="25">
        <v>1</v>
      </c>
      <c r="E48" s="23" t="s">
        <v>46</v>
      </c>
      <c r="F48" s="25">
        <v>47</v>
      </c>
      <c r="G48" s="23" t="s">
        <v>47</v>
      </c>
      <c r="H48" s="24" t="s">
        <v>48</v>
      </c>
      <c r="I48" s="25" t="str">
        <f t="shared" si="0"/>
        <v>R</v>
      </c>
      <c r="J48" s="23" t="s">
        <v>49</v>
      </c>
      <c r="K48" s="25" t="s">
        <v>78</v>
      </c>
      <c r="L48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48" s="24">
        <f>IF(DataTable[[#This Row],[3x head (H)/tail (T)?]]=DataTable[[#This Row],[then 4th: H/T/B/0]],1,0)</f>
        <v>0</v>
      </c>
      <c r="N48" s="24">
        <f>IF(DataTable[[#This Row],[then 4th: H/T/B/0]]="B",1,0)</f>
        <v>0</v>
      </c>
      <c r="O48" s="23" t="s">
        <v>101</v>
      </c>
      <c r="P48" s="24">
        <v>21</v>
      </c>
      <c r="Q48" s="26" t="s">
        <v>118</v>
      </c>
      <c r="R48" s="25" t="s">
        <v>53</v>
      </c>
      <c r="S48" s="27" t="s">
        <v>75</v>
      </c>
      <c r="T48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8" s="28" t="s">
        <v>76</v>
      </c>
      <c r="V48" s="29" t="s">
        <v>6</v>
      </c>
      <c r="W48" s="29"/>
      <c r="X48" s="27"/>
      <c r="Y48" s="27">
        <f>IF(DataTable[[#This Row],[explanation1]]="BL",1,IF(DataTable[[#This Row],[explanation2]]="BL",1,IF(DataTable[[#This Row],[explanation1]]="BR",1,IF(DataTable[[#This Row],[explanation2]]="BR",1,0))))</f>
        <v>1</v>
      </c>
      <c r="Z48" s="18">
        <f>IF(DataTable[[#This Row],[explanation1]]="BL",1,IF(DataTable[[#This Row],[explanation2]]="BL",1,0))</f>
        <v>1</v>
      </c>
      <c r="AA48" s="18">
        <f>IF(DataTable[[#This Row],[explanation1]]="WJ",1,IF(DataTable[[#This Row],[explanation2]]="WJ",1,0))</f>
        <v>0</v>
      </c>
      <c r="AB48" s="18">
        <f>IF(DataTable[[#This Row],[explanation1]]="U",1,IF(DataTable[[#This Row],[explanation2]]="U",1,0))</f>
        <v>0</v>
      </c>
      <c r="AC48" s="18">
        <f>IF(DataTable[[#This Row],[explanation1]]="O",1,IF(DataTable[[#This Row],[explanation2]]="O",1,0))</f>
        <v>0</v>
      </c>
      <c r="AD48" s="18">
        <f>IF(DataTable[[#This Row],[explanation1]]="TP",1,IF(DataTable[[#This Row],[explanation2]]="TP",1,0))</f>
        <v>0</v>
      </c>
      <c r="AE48" s="18">
        <f>IF(DataTable[[#This Row],[explanation1]]="WP",1,IF(DataTable[[#This Row],[explanation2]]="WP",1,0))</f>
        <v>0</v>
      </c>
      <c r="AF48" s="18">
        <f>IF(DataTable[[#This Row],[explanation1]]="BR",1,IF(DataTable[[#This Row],[explanation2]]="BR",1,0))</f>
        <v>0</v>
      </c>
      <c r="AG48" s="18">
        <f>IF(DataTable[[#This Row],[explanation1]]="LS",1,IF(DataTable[[#This Row],[explanation2]]="LS",1,0))</f>
        <v>0</v>
      </c>
      <c r="AH48" s="29" t="s">
        <v>6</v>
      </c>
    </row>
    <row r="49" spans="1:34" x14ac:dyDescent="0.2">
      <c r="A49" s="13">
        <v>47</v>
      </c>
      <c r="B49" s="14" t="s">
        <v>44</v>
      </c>
      <c r="C49" s="15" t="s">
        <v>74</v>
      </c>
      <c r="D49" s="16">
        <v>1</v>
      </c>
      <c r="E49" s="14" t="s">
        <v>58</v>
      </c>
      <c r="F49" s="16">
        <v>37</v>
      </c>
      <c r="G49" s="14" t="s">
        <v>47</v>
      </c>
      <c r="H49" s="15" t="s">
        <v>48</v>
      </c>
      <c r="I49" s="16" t="str">
        <f t="shared" si="0"/>
        <v>R</v>
      </c>
      <c r="J49" s="14" t="s">
        <v>49</v>
      </c>
      <c r="K49" s="16" t="s">
        <v>50</v>
      </c>
      <c r="L49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9" s="15">
        <f>IF(DataTable[[#This Row],[3x head (H)/tail (T)?]]=DataTable[[#This Row],[then 4th: H/T/B/0]],1,0)</f>
        <v>0</v>
      </c>
      <c r="N49" s="15">
        <f>IF(DataTable[[#This Row],[then 4th: H/T/B/0]]="B",1,0)</f>
        <v>1</v>
      </c>
      <c r="O49" s="14" t="s">
        <v>101</v>
      </c>
      <c r="P49" s="15">
        <v>21</v>
      </c>
      <c r="Q49" s="17" t="s">
        <v>118</v>
      </c>
      <c r="R49" s="16" t="s">
        <v>53</v>
      </c>
      <c r="S49" s="18" t="s">
        <v>75</v>
      </c>
      <c r="T49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9" s="19" t="s">
        <v>76</v>
      </c>
      <c r="V49" s="20" t="s">
        <v>8</v>
      </c>
      <c r="W49" s="20"/>
      <c r="X49" s="18"/>
      <c r="Y49" s="18">
        <f>IF(DataTable[[#This Row],[explanation1]]="BL",1,IF(DataTable[[#This Row],[explanation2]]="BL",1,IF(DataTable[[#This Row],[explanation1]]="BR",1,IF(DataTable[[#This Row],[explanation2]]="BR",1,0))))</f>
        <v>0</v>
      </c>
      <c r="Z49" s="18">
        <f>IF(DataTable[[#This Row],[explanation1]]="BL",1,IF(DataTable[[#This Row],[explanation2]]="BL",1,0))</f>
        <v>0</v>
      </c>
      <c r="AA49" s="18">
        <f>IF(DataTable[[#This Row],[explanation1]]="WJ",1,IF(DataTable[[#This Row],[explanation2]]="WJ",1,0))</f>
        <v>0</v>
      </c>
      <c r="AB49" s="18">
        <f>IF(DataTable[[#This Row],[explanation1]]="U",1,IF(DataTable[[#This Row],[explanation2]]="U",1,0))</f>
        <v>1</v>
      </c>
      <c r="AC49" s="18">
        <f>IF(DataTable[[#This Row],[explanation1]]="O",1,IF(DataTable[[#This Row],[explanation2]]="O",1,0))</f>
        <v>0</v>
      </c>
      <c r="AD49" s="18">
        <f>IF(DataTable[[#This Row],[explanation1]]="TP",1,IF(DataTable[[#This Row],[explanation2]]="TP",1,0))</f>
        <v>0</v>
      </c>
      <c r="AE49" s="18">
        <f>IF(DataTable[[#This Row],[explanation1]]="WP",1,IF(DataTable[[#This Row],[explanation2]]="WP",1,0))</f>
        <v>0</v>
      </c>
      <c r="AF49" s="18">
        <f>IF(DataTable[[#This Row],[explanation1]]="BR",1,IF(DataTable[[#This Row],[explanation2]]="BR",1,0))</f>
        <v>0</v>
      </c>
      <c r="AG49" s="18">
        <f>IF(DataTable[[#This Row],[explanation1]]="LS",1,IF(DataTable[[#This Row],[explanation2]]="LS",1,0))</f>
        <v>0</v>
      </c>
      <c r="AH49" s="20" t="s">
        <v>130</v>
      </c>
    </row>
    <row r="50" spans="1:34" x14ac:dyDescent="0.2">
      <c r="A50" s="22">
        <v>48</v>
      </c>
      <c r="B50" s="23" t="s">
        <v>44</v>
      </c>
      <c r="C50" s="24" t="s">
        <v>74</v>
      </c>
      <c r="D50" s="25">
        <v>1</v>
      </c>
      <c r="E50" s="23" t="s">
        <v>46</v>
      </c>
      <c r="F50" s="25">
        <v>25</v>
      </c>
      <c r="G50" s="23" t="s">
        <v>47</v>
      </c>
      <c r="H50" s="24" t="s">
        <v>81</v>
      </c>
      <c r="I50" s="25" t="str">
        <f t="shared" si="0"/>
        <v>L1</v>
      </c>
      <c r="J50" s="23" t="s">
        <v>49</v>
      </c>
      <c r="K50" s="25" t="s">
        <v>50</v>
      </c>
      <c r="L50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50" s="24">
        <f>IF(DataTable[[#This Row],[3x head (H)/tail (T)?]]=DataTable[[#This Row],[then 4th: H/T/B/0]],1,0)</f>
        <v>0</v>
      </c>
      <c r="N50" s="24">
        <f>IF(DataTable[[#This Row],[then 4th: H/T/B/0]]="B",1,0)</f>
        <v>1</v>
      </c>
      <c r="O50" s="23" t="s">
        <v>101</v>
      </c>
      <c r="P50" s="24">
        <v>21</v>
      </c>
      <c r="Q50" s="26" t="s">
        <v>118</v>
      </c>
      <c r="R50" s="25" t="s">
        <v>53</v>
      </c>
      <c r="S50" s="27" t="s">
        <v>75</v>
      </c>
      <c r="T50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50" s="28" t="s">
        <v>76</v>
      </c>
      <c r="V50" s="29" t="s">
        <v>7</v>
      </c>
      <c r="W50" s="29"/>
      <c r="X50" s="27"/>
      <c r="Y50" s="27">
        <f>IF(DataTable[[#This Row],[explanation1]]="BL",1,IF(DataTable[[#This Row],[explanation2]]="BL",1,IF(DataTable[[#This Row],[explanation1]]="BR",1,IF(DataTable[[#This Row],[explanation2]]="BR",1,0))))</f>
        <v>0</v>
      </c>
      <c r="Z50" s="18">
        <f>IF(DataTable[[#This Row],[explanation1]]="BL",1,IF(DataTable[[#This Row],[explanation2]]="BL",1,0))</f>
        <v>0</v>
      </c>
      <c r="AA50" s="18">
        <f>IF(DataTable[[#This Row],[explanation1]]="WJ",1,IF(DataTable[[#This Row],[explanation2]]="WJ",1,0))</f>
        <v>1</v>
      </c>
      <c r="AB50" s="18">
        <f>IF(DataTable[[#This Row],[explanation1]]="U",1,IF(DataTable[[#This Row],[explanation2]]="U",1,0))</f>
        <v>0</v>
      </c>
      <c r="AC50" s="18">
        <f>IF(DataTable[[#This Row],[explanation1]]="O",1,IF(DataTable[[#This Row],[explanation2]]="O",1,0))</f>
        <v>0</v>
      </c>
      <c r="AD50" s="18">
        <f>IF(DataTable[[#This Row],[explanation1]]="TP",1,IF(DataTable[[#This Row],[explanation2]]="TP",1,0))</f>
        <v>0</v>
      </c>
      <c r="AE50" s="18">
        <f>IF(DataTable[[#This Row],[explanation1]]="WP",1,IF(DataTable[[#This Row],[explanation2]]="WP",1,0))</f>
        <v>0</v>
      </c>
      <c r="AF50" s="18">
        <f>IF(DataTable[[#This Row],[explanation1]]="BR",1,IF(DataTable[[#This Row],[explanation2]]="BR",1,0))</f>
        <v>0</v>
      </c>
      <c r="AG50" s="18">
        <f>IF(DataTable[[#This Row],[explanation1]]="LS",1,IF(DataTable[[#This Row],[explanation2]]="LS",1,0))</f>
        <v>0</v>
      </c>
      <c r="AH50" s="29" t="s">
        <v>131</v>
      </c>
    </row>
    <row r="51" spans="1:34" x14ac:dyDescent="0.2">
      <c r="A51" s="13">
        <v>49</v>
      </c>
      <c r="B51" s="14" t="s">
        <v>44</v>
      </c>
      <c r="C51" s="15" t="s">
        <v>74</v>
      </c>
      <c r="D51" s="16">
        <v>1</v>
      </c>
      <c r="E51" s="14" t="s">
        <v>58</v>
      </c>
      <c r="F51" s="16">
        <v>32</v>
      </c>
      <c r="G51" s="14" t="s">
        <v>47</v>
      </c>
      <c r="H51" s="15" t="s">
        <v>48</v>
      </c>
      <c r="I51" s="16" t="str">
        <f t="shared" si="0"/>
        <v>R</v>
      </c>
      <c r="J51" s="14" t="s">
        <v>49</v>
      </c>
      <c r="K51" s="16" t="s">
        <v>78</v>
      </c>
      <c r="L51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51" s="15">
        <f>IF(DataTable[[#This Row],[3x head (H)/tail (T)?]]=DataTable[[#This Row],[then 4th: H/T/B/0]],1,0)</f>
        <v>0</v>
      </c>
      <c r="N51" s="15">
        <f>IF(DataTable[[#This Row],[then 4th: H/T/B/0]]="B",1,0)</f>
        <v>0</v>
      </c>
      <c r="O51" s="14" t="s">
        <v>101</v>
      </c>
      <c r="P51" s="15">
        <v>21</v>
      </c>
      <c r="Q51" s="17" t="s">
        <v>118</v>
      </c>
      <c r="R51" s="16" t="s">
        <v>53</v>
      </c>
      <c r="S51" s="18" t="s">
        <v>75</v>
      </c>
      <c r="T51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51" s="19" t="s">
        <v>76</v>
      </c>
      <c r="V51" s="20" t="s">
        <v>6</v>
      </c>
      <c r="W51" s="20"/>
      <c r="X51" s="18"/>
      <c r="Y51" s="18">
        <f>IF(DataTable[[#This Row],[explanation1]]="BL",1,IF(DataTable[[#This Row],[explanation2]]="BL",1,IF(DataTable[[#This Row],[explanation1]]="BR",1,IF(DataTable[[#This Row],[explanation2]]="BR",1,0))))</f>
        <v>1</v>
      </c>
      <c r="Z51" s="18">
        <f>IF(DataTable[[#This Row],[explanation1]]="BL",1,IF(DataTable[[#This Row],[explanation2]]="BL",1,0))</f>
        <v>1</v>
      </c>
      <c r="AA51" s="18">
        <f>IF(DataTable[[#This Row],[explanation1]]="WJ",1,IF(DataTable[[#This Row],[explanation2]]="WJ",1,0))</f>
        <v>0</v>
      </c>
      <c r="AB51" s="18">
        <f>IF(DataTable[[#This Row],[explanation1]]="U",1,IF(DataTable[[#This Row],[explanation2]]="U",1,0))</f>
        <v>0</v>
      </c>
      <c r="AC51" s="18">
        <f>IF(DataTable[[#This Row],[explanation1]]="O",1,IF(DataTable[[#This Row],[explanation2]]="O",1,0))</f>
        <v>0</v>
      </c>
      <c r="AD51" s="18">
        <f>IF(DataTable[[#This Row],[explanation1]]="TP",1,IF(DataTable[[#This Row],[explanation2]]="TP",1,0))</f>
        <v>0</v>
      </c>
      <c r="AE51" s="18">
        <f>IF(DataTable[[#This Row],[explanation1]]="WP",1,IF(DataTable[[#This Row],[explanation2]]="WP",1,0))</f>
        <v>0</v>
      </c>
      <c r="AF51" s="18">
        <f>IF(DataTable[[#This Row],[explanation1]]="BR",1,IF(DataTable[[#This Row],[explanation2]]="BR",1,0))</f>
        <v>0</v>
      </c>
      <c r="AG51" s="18">
        <f>IF(DataTable[[#This Row],[explanation1]]="LS",1,IF(DataTable[[#This Row],[explanation2]]="LS",1,0))</f>
        <v>0</v>
      </c>
      <c r="AH51" s="20" t="s">
        <v>6</v>
      </c>
    </row>
    <row r="52" spans="1:34" x14ac:dyDescent="0.2">
      <c r="A52" s="22">
        <v>50</v>
      </c>
      <c r="B52" s="23" t="s">
        <v>60</v>
      </c>
      <c r="C52" s="24" t="s">
        <v>74</v>
      </c>
      <c r="D52" s="25">
        <v>1</v>
      </c>
      <c r="E52" s="23" t="s">
        <v>58</v>
      </c>
      <c r="F52" s="25">
        <v>56</v>
      </c>
      <c r="G52" s="23" t="s">
        <v>47</v>
      </c>
      <c r="H52" s="24" t="s">
        <v>48</v>
      </c>
      <c r="I52" s="25" t="str">
        <f t="shared" si="0"/>
        <v>R</v>
      </c>
      <c r="J52" s="23" t="s">
        <v>49</v>
      </c>
      <c r="K52" s="25" t="s">
        <v>78</v>
      </c>
      <c r="L52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52" s="24">
        <f>IF(DataTable[[#This Row],[3x head (H)/tail (T)?]]=DataTable[[#This Row],[then 4th: H/T/B/0]],1,0)</f>
        <v>0</v>
      </c>
      <c r="N52" s="24">
        <f>IF(DataTable[[#This Row],[then 4th: H/T/B/0]]="B",1,0)</f>
        <v>0</v>
      </c>
      <c r="O52" s="23" t="s">
        <v>101</v>
      </c>
      <c r="P52" s="24">
        <v>21</v>
      </c>
      <c r="Q52" s="26" t="s">
        <v>118</v>
      </c>
      <c r="R52" s="25" t="s">
        <v>53</v>
      </c>
      <c r="S52" s="27" t="s">
        <v>75</v>
      </c>
      <c r="T52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52" s="28" t="s">
        <v>76</v>
      </c>
      <c r="V52" s="35" t="s">
        <v>132</v>
      </c>
      <c r="W52" s="35"/>
      <c r="X52" s="27"/>
      <c r="Y52" s="27">
        <f>IF(DataTable[[#This Row],[explanation1]]="BL",1,IF(DataTable[[#This Row],[explanation2]]="BL",1,IF(DataTable[[#This Row],[explanation1]]="BR",1,IF(DataTable[[#This Row],[explanation2]]="BR",1,0))))</f>
        <v>0</v>
      </c>
      <c r="Z52" s="18">
        <f>IF(DataTable[[#This Row],[explanation1]]="BL",1,IF(DataTable[[#This Row],[explanation2]]="BL",1,0))</f>
        <v>0</v>
      </c>
      <c r="AA52" s="18">
        <f>IF(DataTable[[#This Row],[explanation1]]="WJ",1,IF(DataTable[[#This Row],[explanation2]]="WJ",1,0))</f>
        <v>0</v>
      </c>
      <c r="AB52" s="18">
        <f>IF(DataTable[[#This Row],[explanation1]]="U",1,IF(DataTable[[#This Row],[explanation2]]="U",1,0))</f>
        <v>0</v>
      </c>
      <c r="AC52" s="18">
        <f>IF(DataTable[[#This Row],[explanation1]]="O",1,IF(DataTable[[#This Row],[explanation2]]="O",1,0))</f>
        <v>0</v>
      </c>
      <c r="AD52" s="18">
        <f>IF(DataTable[[#This Row],[explanation1]]="TP",1,IF(DataTable[[#This Row],[explanation2]]="TP",1,0))</f>
        <v>0</v>
      </c>
      <c r="AE52" s="18">
        <f>IF(DataTable[[#This Row],[explanation1]]="WP",1,IF(DataTable[[#This Row],[explanation2]]="WP",1,0))</f>
        <v>0</v>
      </c>
      <c r="AF52" s="18">
        <f>IF(DataTable[[#This Row],[explanation1]]="BR",1,IF(DataTable[[#This Row],[explanation2]]="BR",1,0))</f>
        <v>0</v>
      </c>
      <c r="AG52" s="18">
        <f>IF(DataTable[[#This Row],[explanation1]]="LS",1,IF(DataTable[[#This Row],[explanation2]]="LS",1,0))</f>
        <v>0</v>
      </c>
      <c r="AH52" s="29" t="s">
        <v>133</v>
      </c>
    </row>
    <row r="53" spans="1:34" x14ac:dyDescent="0.2">
      <c r="A53" s="13">
        <v>51</v>
      </c>
      <c r="B53" s="14" t="s">
        <v>60</v>
      </c>
      <c r="C53" s="15" t="s">
        <v>74</v>
      </c>
      <c r="D53" s="16">
        <v>1</v>
      </c>
      <c r="E53" s="14" t="s">
        <v>46</v>
      </c>
      <c r="F53" s="16">
        <v>27</v>
      </c>
      <c r="G53" s="14" t="s">
        <v>47</v>
      </c>
      <c r="H53" s="15" t="s">
        <v>48</v>
      </c>
      <c r="I53" s="16" t="str">
        <f t="shared" si="0"/>
        <v>R</v>
      </c>
      <c r="J53" s="14" t="s">
        <v>49</v>
      </c>
      <c r="K53" s="16" t="s">
        <v>49</v>
      </c>
      <c r="L53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53" s="15">
        <f>IF(DataTable[[#This Row],[3x head (H)/tail (T)?]]=DataTable[[#This Row],[then 4th: H/T/B/0]],1,0)</f>
        <v>1</v>
      </c>
      <c r="N53" s="15">
        <f>IF(DataTable[[#This Row],[then 4th: H/T/B/0]]="B",1,0)</f>
        <v>0</v>
      </c>
      <c r="O53" s="14" t="s">
        <v>101</v>
      </c>
      <c r="P53" s="15">
        <v>21</v>
      </c>
      <c r="Q53" s="17" t="s">
        <v>118</v>
      </c>
      <c r="R53" s="16" t="s">
        <v>53</v>
      </c>
      <c r="S53" s="18" t="s">
        <v>54</v>
      </c>
      <c r="T53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53" s="19" t="s">
        <v>134</v>
      </c>
      <c r="V53" s="20" t="s">
        <v>6</v>
      </c>
      <c r="W53" s="20" t="s">
        <v>11</v>
      </c>
      <c r="X53" s="18"/>
      <c r="Y53" s="18">
        <f>IF(DataTable[[#This Row],[explanation1]]="BL",1,IF(DataTable[[#This Row],[explanation2]]="BL",1,IF(DataTable[[#This Row],[explanation1]]="BR",1,IF(DataTable[[#This Row],[explanation2]]="BR",1,0))))</f>
        <v>1</v>
      </c>
      <c r="Z53" s="18">
        <f>IF(DataTable[[#This Row],[explanation1]]="BL",1,IF(DataTable[[#This Row],[explanation2]]="BL",1,0))</f>
        <v>1</v>
      </c>
      <c r="AA53" s="18">
        <f>IF(DataTable[[#This Row],[explanation1]]="WJ",1,IF(DataTable[[#This Row],[explanation2]]="WJ",1,0))</f>
        <v>0</v>
      </c>
      <c r="AB53" s="18">
        <f>IF(DataTable[[#This Row],[explanation1]]="U",1,IF(DataTable[[#This Row],[explanation2]]="U",1,0))</f>
        <v>0</v>
      </c>
      <c r="AC53" s="18">
        <f>IF(DataTable[[#This Row],[explanation1]]="O",1,IF(DataTable[[#This Row],[explanation2]]="O",1,0))</f>
        <v>0</v>
      </c>
      <c r="AD53" s="18">
        <f>IF(DataTable[[#This Row],[explanation1]]="TP",1,IF(DataTable[[#This Row],[explanation2]]="TP",1,0))</f>
        <v>0</v>
      </c>
      <c r="AE53" s="18">
        <f>IF(DataTable[[#This Row],[explanation1]]="WP",1,IF(DataTable[[#This Row],[explanation2]]="WP",1,0))</f>
        <v>1</v>
      </c>
      <c r="AF53" s="18">
        <f>IF(DataTable[[#This Row],[explanation1]]="BR",1,IF(DataTable[[#This Row],[explanation2]]="BR",1,0))</f>
        <v>0</v>
      </c>
      <c r="AG53" s="18">
        <f>IF(DataTable[[#This Row],[explanation1]]="LS",1,IF(DataTable[[#This Row],[explanation2]]="LS",1,0))</f>
        <v>0</v>
      </c>
      <c r="AH53" s="20" t="s">
        <v>135</v>
      </c>
    </row>
    <row r="54" spans="1:34" x14ac:dyDescent="0.2">
      <c r="A54" s="22">
        <v>52</v>
      </c>
      <c r="B54" s="23" t="s">
        <v>60</v>
      </c>
      <c r="C54" s="24" t="s">
        <v>74</v>
      </c>
      <c r="D54" s="25">
        <v>1</v>
      </c>
      <c r="E54" s="23" t="s">
        <v>46</v>
      </c>
      <c r="F54" s="25">
        <v>60</v>
      </c>
      <c r="G54" s="23" t="s">
        <v>47</v>
      </c>
      <c r="H54" s="24" t="s">
        <v>48</v>
      </c>
      <c r="I54" s="25" t="str">
        <f t="shared" si="0"/>
        <v>R</v>
      </c>
      <c r="J54" s="23" t="s">
        <v>49</v>
      </c>
      <c r="K54" s="25" t="s">
        <v>50</v>
      </c>
      <c r="L54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54" s="24">
        <f>IF(DataTable[[#This Row],[3x head (H)/tail (T)?]]=DataTable[[#This Row],[then 4th: H/T/B/0]],1,0)</f>
        <v>0</v>
      </c>
      <c r="N54" s="24">
        <f>IF(DataTable[[#This Row],[then 4th: H/T/B/0]]="B",1,0)</f>
        <v>1</v>
      </c>
      <c r="O54" s="23" t="s">
        <v>101</v>
      </c>
      <c r="P54" s="24">
        <v>21</v>
      </c>
      <c r="Q54" s="26" t="s">
        <v>118</v>
      </c>
      <c r="R54" s="25" t="s">
        <v>53</v>
      </c>
      <c r="S54" s="27" t="s">
        <v>61</v>
      </c>
      <c r="T54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4</v>
      </c>
      <c r="U54" s="28" t="s">
        <v>136</v>
      </c>
      <c r="V54" s="29" t="s">
        <v>6</v>
      </c>
      <c r="W54" s="29"/>
      <c r="X54" s="27"/>
      <c r="Y54" s="27">
        <f>IF(DataTable[[#This Row],[explanation1]]="BL",1,IF(DataTable[[#This Row],[explanation2]]="BL",1,IF(DataTable[[#This Row],[explanation1]]="BR",1,IF(DataTable[[#This Row],[explanation2]]="BR",1,0))))</f>
        <v>1</v>
      </c>
      <c r="Z54" s="18">
        <f>IF(DataTable[[#This Row],[explanation1]]="BL",1,IF(DataTable[[#This Row],[explanation2]]="BL",1,0))</f>
        <v>1</v>
      </c>
      <c r="AA54" s="18">
        <f>IF(DataTable[[#This Row],[explanation1]]="WJ",1,IF(DataTable[[#This Row],[explanation2]]="WJ",1,0))</f>
        <v>0</v>
      </c>
      <c r="AB54" s="18">
        <f>IF(DataTable[[#This Row],[explanation1]]="U",1,IF(DataTable[[#This Row],[explanation2]]="U",1,0))</f>
        <v>0</v>
      </c>
      <c r="AC54" s="18">
        <f>IF(DataTable[[#This Row],[explanation1]]="O",1,IF(DataTable[[#This Row],[explanation2]]="O",1,0))</f>
        <v>0</v>
      </c>
      <c r="AD54" s="18">
        <f>IF(DataTable[[#This Row],[explanation1]]="TP",1,IF(DataTable[[#This Row],[explanation2]]="TP",1,0))</f>
        <v>0</v>
      </c>
      <c r="AE54" s="18">
        <f>IF(DataTable[[#This Row],[explanation1]]="WP",1,IF(DataTable[[#This Row],[explanation2]]="WP",1,0))</f>
        <v>0</v>
      </c>
      <c r="AF54" s="18">
        <f>IF(DataTable[[#This Row],[explanation1]]="BR",1,IF(DataTable[[#This Row],[explanation2]]="BR",1,0))</f>
        <v>0</v>
      </c>
      <c r="AG54" s="18">
        <f>IF(DataTable[[#This Row],[explanation1]]="LS",1,IF(DataTable[[#This Row],[explanation2]]="LS",1,0))</f>
        <v>0</v>
      </c>
      <c r="AH54" s="29" t="s">
        <v>137</v>
      </c>
    </row>
    <row r="55" spans="1:34" x14ac:dyDescent="0.2">
      <c r="A55" s="13">
        <v>53</v>
      </c>
      <c r="B55" s="14" t="s">
        <v>60</v>
      </c>
      <c r="C55" s="15" t="s">
        <v>74</v>
      </c>
      <c r="D55" s="16">
        <v>1</v>
      </c>
      <c r="E55" s="14" t="s">
        <v>46</v>
      </c>
      <c r="F55" s="16">
        <v>31</v>
      </c>
      <c r="G55" s="14" t="s">
        <v>47</v>
      </c>
      <c r="H55" s="15" t="s">
        <v>81</v>
      </c>
      <c r="I55" s="16" t="str">
        <f t="shared" si="0"/>
        <v>L5</v>
      </c>
      <c r="J55" s="14" t="s">
        <v>49</v>
      </c>
      <c r="K55" s="16" t="s">
        <v>50</v>
      </c>
      <c r="L55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55" s="15">
        <f>IF(DataTable[[#This Row],[3x head (H)/tail (T)?]]=DataTable[[#This Row],[then 4th: H/T/B/0]],1,0)</f>
        <v>0</v>
      </c>
      <c r="N55" s="15">
        <f>IF(DataTable[[#This Row],[then 4th: H/T/B/0]]="B",1,0)</f>
        <v>1</v>
      </c>
      <c r="O55" s="14" t="s">
        <v>101</v>
      </c>
      <c r="P55" s="15">
        <v>21</v>
      </c>
      <c r="Q55" s="17" t="s">
        <v>118</v>
      </c>
      <c r="R55" s="16" t="s">
        <v>53</v>
      </c>
      <c r="S55" s="18" t="s">
        <v>65</v>
      </c>
      <c r="T55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55" s="19" t="s">
        <v>95</v>
      </c>
      <c r="V55" s="20" t="s">
        <v>11</v>
      </c>
      <c r="W55" s="20"/>
      <c r="X55" s="18"/>
      <c r="Y55" s="18">
        <f>IF(DataTable[[#This Row],[explanation1]]="BL",1,IF(DataTable[[#This Row],[explanation2]]="BL",1,IF(DataTable[[#This Row],[explanation1]]="BR",1,IF(DataTable[[#This Row],[explanation2]]="BR",1,0))))</f>
        <v>0</v>
      </c>
      <c r="Z55" s="18">
        <f>IF(DataTable[[#This Row],[explanation1]]="BL",1,IF(DataTable[[#This Row],[explanation2]]="BL",1,0))</f>
        <v>0</v>
      </c>
      <c r="AA55" s="18">
        <f>IF(DataTable[[#This Row],[explanation1]]="WJ",1,IF(DataTable[[#This Row],[explanation2]]="WJ",1,0))</f>
        <v>0</v>
      </c>
      <c r="AB55" s="18">
        <f>IF(DataTable[[#This Row],[explanation1]]="U",1,IF(DataTable[[#This Row],[explanation2]]="U",1,0))</f>
        <v>0</v>
      </c>
      <c r="AC55" s="18">
        <f>IF(DataTable[[#This Row],[explanation1]]="O",1,IF(DataTable[[#This Row],[explanation2]]="O",1,0))</f>
        <v>0</v>
      </c>
      <c r="AD55" s="18">
        <f>IF(DataTable[[#This Row],[explanation1]]="TP",1,IF(DataTable[[#This Row],[explanation2]]="TP",1,0))</f>
        <v>0</v>
      </c>
      <c r="AE55" s="18">
        <f>IF(DataTable[[#This Row],[explanation1]]="WP",1,IF(DataTable[[#This Row],[explanation2]]="WP",1,0))</f>
        <v>1</v>
      </c>
      <c r="AF55" s="18">
        <f>IF(DataTable[[#This Row],[explanation1]]="BR",1,IF(DataTable[[#This Row],[explanation2]]="BR",1,0))</f>
        <v>0</v>
      </c>
      <c r="AG55" s="18">
        <f>IF(DataTable[[#This Row],[explanation1]]="LS",1,IF(DataTable[[#This Row],[explanation2]]="LS",1,0))</f>
        <v>0</v>
      </c>
      <c r="AH55" s="20" t="s">
        <v>11</v>
      </c>
    </row>
    <row r="56" spans="1:34" x14ac:dyDescent="0.2">
      <c r="A56" s="22">
        <v>54</v>
      </c>
      <c r="B56" s="23" t="s">
        <v>70</v>
      </c>
      <c r="C56" s="24" t="s">
        <v>74</v>
      </c>
      <c r="D56" s="25">
        <v>1</v>
      </c>
      <c r="E56" s="23" t="s">
        <v>46</v>
      </c>
      <c r="F56" s="25">
        <v>19</v>
      </c>
      <c r="G56" s="23" t="s">
        <v>47</v>
      </c>
      <c r="H56" s="24" t="s">
        <v>48</v>
      </c>
      <c r="I56" s="25" t="str">
        <f t="shared" si="0"/>
        <v>R</v>
      </c>
      <c r="J56" s="23" t="s">
        <v>49</v>
      </c>
      <c r="K56" s="25" t="s">
        <v>78</v>
      </c>
      <c r="L56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56" s="24">
        <f>IF(DataTable[[#This Row],[3x head (H)/tail (T)?]]=DataTable[[#This Row],[then 4th: H/T/B/0]],1,0)</f>
        <v>0</v>
      </c>
      <c r="N56" s="24">
        <f>IF(DataTable[[#This Row],[then 4th: H/T/B/0]]="B",1,0)</f>
        <v>0</v>
      </c>
      <c r="O56" s="23" t="s">
        <v>101</v>
      </c>
      <c r="P56" s="24">
        <v>21</v>
      </c>
      <c r="Q56" s="26" t="s">
        <v>118</v>
      </c>
      <c r="R56" s="25" t="s">
        <v>53</v>
      </c>
      <c r="S56" s="36" t="s">
        <v>54</v>
      </c>
      <c r="T56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56" s="28" t="s">
        <v>138</v>
      </c>
      <c r="V56" s="29" t="s">
        <v>6</v>
      </c>
      <c r="W56" s="29"/>
      <c r="X56" s="27"/>
      <c r="Y56" s="27">
        <f>IF(DataTable[[#This Row],[explanation1]]="BL",1,IF(DataTable[[#This Row],[explanation2]]="BL",1,IF(DataTable[[#This Row],[explanation1]]="BR",1,IF(DataTable[[#This Row],[explanation2]]="BR",1,0))))</f>
        <v>1</v>
      </c>
      <c r="Z56" s="18">
        <f>IF(DataTable[[#This Row],[explanation1]]="BL",1,IF(DataTable[[#This Row],[explanation2]]="BL",1,0))</f>
        <v>1</v>
      </c>
      <c r="AA56" s="18">
        <f>IF(DataTable[[#This Row],[explanation1]]="WJ",1,IF(DataTable[[#This Row],[explanation2]]="WJ",1,0))</f>
        <v>0</v>
      </c>
      <c r="AB56" s="18">
        <f>IF(DataTable[[#This Row],[explanation1]]="U",1,IF(DataTable[[#This Row],[explanation2]]="U",1,0))</f>
        <v>0</v>
      </c>
      <c r="AC56" s="18">
        <f>IF(DataTable[[#This Row],[explanation1]]="O",1,IF(DataTable[[#This Row],[explanation2]]="O",1,0))</f>
        <v>0</v>
      </c>
      <c r="AD56" s="18">
        <f>IF(DataTable[[#This Row],[explanation1]]="TP",1,IF(DataTable[[#This Row],[explanation2]]="TP",1,0))</f>
        <v>0</v>
      </c>
      <c r="AE56" s="18">
        <f>IF(DataTable[[#This Row],[explanation1]]="WP",1,IF(DataTable[[#This Row],[explanation2]]="WP",1,0))</f>
        <v>0</v>
      </c>
      <c r="AF56" s="18">
        <f>IF(DataTable[[#This Row],[explanation1]]="BR",1,IF(DataTable[[#This Row],[explanation2]]="BR",1,0))</f>
        <v>0</v>
      </c>
      <c r="AG56" s="18">
        <f>IF(DataTable[[#This Row],[explanation1]]="LS",1,IF(DataTable[[#This Row],[explanation2]]="LS",1,0))</f>
        <v>0</v>
      </c>
      <c r="AH56" s="29" t="s">
        <v>6</v>
      </c>
    </row>
    <row r="57" spans="1:34" x14ac:dyDescent="0.2">
      <c r="A57" s="13">
        <v>55</v>
      </c>
      <c r="B57" s="14" t="s">
        <v>70</v>
      </c>
      <c r="C57" s="15" t="s">
        <v>74</v>
      </c>
      <c r="D57" s="16">
        <v>1</v>
      </c>
      <c r="E57" s="14" t="s">
        <v>58</v>
      </c>
      <c r="F57" s="16">
        <v>17</v>
      </c>
      <c r="G57" s="14" t="s">
        <v>47</v>
      </c>
      <c r="H57" s="15" t="s">
        <v>48</v>
      </c>
      <c r="I57" s="16" t="str">
        <f t="shared" si="0"/>
        <v>R</v>
      </c>
      <c r="J57" s="14" t="s">
        <v>49</v>
      </c>
      <c r="K57" s="16" t="s">
        <v>49</v>
      </c>
      <c r="L57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57" s="15">
        <f>IF(DataTable[[#This Row],[3x head (H)/tail (T)?]]=DataTable[[#This Row],[then 4th: H/T/B/0]],1,0)</f>
        <v>1</v>
      </c>
      <c r="N57" s="15">
        <f>IF(DataTable[[#This Row],[then 4th: H/T/B/0]]="B",1,0)</f>
        <v>0</v>
      </c>
      <c r="O57" s="14" t="s">
        <v>101</v>
      </c>
      <c r="P57" s="15">
        <v>21</v>
      </c>
      <c r="Q57" s="17" t="s">
        <v>411</v>
      </c>
      <c r="R57" s="16" t="s">
        <v>53</v>
      </c>
      <c r="S57" s="18" t="s">
        <v>75</v>
      </c>
      <c r="T57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57" s="19" t="s">
        <v>76</v>
      </c>
      <c r="V57" s="32" t="s">
        <v>9</v>
      </c>
      <c r="W57" s="32" t="s">
        <v>8</v>
      </c>
      <c r="X57" s="18"/>
      <c r="Y57" s="18">
        <f>IF(DataTable[[#This Row],[explanation1]]="BL",1,IF(DataTable[[#This Row],[explanation2]]="BL",1,IF(DataTable[[#This Row],[explanation1]]="BR",1,IF(DataTable[[#This Row],[explanation2]]="BR",1,0))))</f>
        <v>0</v>
      </c>
      <c r="Z57" s="18">
        <f>IF(DataTable[[#This Row],[explanation1]]="BL",1,IF(DataTable[[#This Row],[explanation2]]="BL",1,0))</f>
        <v>0</v>
      </c>
      <c r="AA57" s="18">
        <f>IF(DataTable[[#This Row],[explanation1]]="WJ",1,IF(DataTable[[#This Row],[explanation2]]="WJ",1,0))</f>
        <v>0</v>
      </c>
      <c r="AB57" s="18">
        <f>IF(DataTable[[#This Row],[explanation1]]="U",1,IF(DataTable[[#This Row],[explanation2]]="U",1,0))</f>
        <v>1</v>
      </c>
      <c r="AC57" s="18">
        <f>IF(DataTable[[#This Row],[explanation1]]="O",1,IF(DataTable[[#This Row],[explanation2]]="O",1,0))</f>
        <v>1</v>
      </c>
      <c r="AD57" s="18">
        <f>IF(DataTable[[#This Row],[explanation1]]="TP",1,IF(DataTable[[#This Row],[explanation2]]="TP",1,0))</f>
        <v>0</v>
      </c>
      <c r="AE57" s="18">
        <f>IF(DataTable[[#This Row],[explanation1]]="WP",1,IF(DataTable[[#This Row],[explanation2]]="WP",1,0))</f>
        <v>0</v>
      </c>
      <c r="AF57" s="18">
        <f>IF(DataTable[[#This Row],[explanation1]]="BR",1,IF(DataTable[[#This Row],[explanation2]]="BR",1,0))</f>
        <v>0</v>
      </c>
      <c r="AG57" s="18">
        <f>IF(DataTable[[#This Row],[explanation1]]="LS",1,IF(DataTable[[#This Row],[explanation2]]="LS",1,0))</f>
        <v>0</v>
      </c>
      <c r="AH57" s="20" t="s">
        <v>140</v>
      </c>
    </row>
    <row r="58" spans="1:34" x14ac:dyDescent="0.2">
      <c r="A58" s="22">
        <v>56</v>
      </c>
      <c r="B58" s="23" t="s">
        <v>70</v>
      </c>
      <c r="C58" s="24" t="s">
        <v>74</v>
      </c>
      <c r="D58" s="25">
        <v>1</v>
      </c>
      <c r="E58" s="23" t="s">
        <v>46</v>
      </c>
      <c r="F58" s="25">
        <v>21</v>
      </c>
      <c r="G58" s="23" t="s">
        <v>47</v>
      </c>
      <c r="H58" s="24" t="s">
        <v>48</v>
      </c>
      <c r="I58" s="25" t="str">
        <f t="shared" si="0"/>
        <v>R</v>
      </c>
      <c r="J58" s="23" t="s">
        <v>49</v>
      </c>
      <c r="K58" s="25" t="s">
        <v>78</v>
      </c>
      <c r="L58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58" s="24">
        <f>IF(DataTable[[#This Row],[3x head (H)/tail (T)?]]=DataTable[[#This Row],[then 4th: H/T/B/0]],1,0)</f>
        <v>0</v>
      </c>
      <c r="N58" s="24">
        <f>IF(DataTable[[#This Row],[then 4th: H/T/B/0]]="B",1,0)</f>
        <v>0</v>
      </c>
      <c r="O58" s="23" t="s">
        <v>101</v>
      </c>
      <c r="P58" s="24">
        <v>21</v>
      </c>
      <c r="Q58" s="26" t="s">
        <v>411</v>
      </c>
      <c r="R58" s="25" t="s">
        <v>53</v>
      </c>
      <c r="S58" s="27" t="s">
        <v>75</v>
      </c>
      <c r="T58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58" s="28" t="s">
        <v>76</v>
      </c>
      <c r="V58" s="29" t="s">
        <v>7</v>
      </c>
      <c r="W58" s="29"/>
      <c r="X58" s="27"/>
      <c r="Y58" s="27">
        <f>IF(DataTable[[#This Row],[explanation1]]="BL",1,IF(DataTable[[#This Row],[explanation2]]="BL",1,IF(DataTable[[#This Row],[explanation1]]="BR",1,IF(DataTable[[#This Row],[explanation2]]="BR",1,0))))</f>
        <v>0</v>
      </c>
      <c r="Z58" s="18">
        <f>IF(DataTable[[#This Row],[explanation1]]="BL",1,IF(DataTable[[#This Row],[explanation2]]="BL",1,0))</f>
        <v>0</v>
      </c>
      <c r="AA58" s="18">
        <f>IF(DataTable[[#This Row],[explanation1]]="WJ",1,IF(DataTable[[#This Row],[explanation2]]="WJ",1,0))</f>
        <v>1</v>
      </c>
      <c r="AB58" s="18">
        <f>IF(DataTable[[#This Row],[explanation1]]="U",1,IF(DataTable[[#This Row],[explanation2]]="U",1,0))</f>
        <v>0</v>
      </c>
      <c r="AC58" s="18">
        <f>IF(DataTable[[#This Row],[explanation1]]="O",1,IF(DataTable[[#This Row],[explanation2]]="O",1,0))</f>
        <v>0</v>
      </c>
      <c r="AD58" s="18">
        <f>IF(DataTable[[#This Row],[explanation1]]="TP",1,IF(DataTable[[#This Row],[explanation2]]="TP",1,0))</f>
        <v>0</v>
      </c>
      <c r="AE58" s="18">
        <f>IF(DataTable[[#This Row],[explanation1]]="WP",1,IF(DataTable[[#This Row],[explanation2]]="WP",1,0))</f>
        <v>0</v>
      </c>
      <c r="AF58" s="18">
        <f>IF(DataTable[[#This Row],[explanation1]]="BR",1,IF(DataTable[[#This Row],[explanation2]]="BR",1,0))</f>
        <v>0</v>
      </c>
      <c r="AG58" s="18">
        <f>IF(DataTable[[#This Row],[explanation1]]="LS",1,IF(DataTable[[#This Row],[explanation2]]="LS",1,0))</f>
        <v>0</v>
      </c>
      <c r="AH58" s="29" t="s">
        <v>7</v>
      </c>
    </row>
    <row r="59" spans="1:34" x14ac:dyDescent="0.2">
      <c r="A59" s="13">
        <v>57</v>
      </c>
      <c r="B59" s="14" t="s">
        <v>70</v>
      </c>
      <c r="C59" s="15" t="s">
        <v>74</v>
      </c>
      <c r="D59" s="16">
        <v>1</v>
      </c>
      <c r="E59" s="14" t="s">
        <v>58</v>
      </c>
      <c r="F59" s="16">
        <v>20</v>
      </c>
      <c r="G59" s="14" t="s">
        <v>47</v>
      </c>
      <c r="H59" s="15" t="s">
        <v>48</v>
      </c>
      <c r="I59" s="16" t="str">
        <f t="shared" si="0"/>
        <v>R</v>
      </c>
      <c r="J59" s="14" t="s">
        <v>49</v>
      </c>
      <c r="K59" s="16" t="s">
        <v>49</v>
      </c>
      <c r="L59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59" s="15">
        <f>IF(DataTable[[#This Row],[3x head (H)/tail (T)?]]=DataTable[[#This Row],[then 4th: H/T/B/0]],1,0)</f>
        <v>1</v>
      </c>
      <c r="N59" s="15">
        <f>IF(DataTable[[#This Row],[then 4th: H/T/B/0]]="B",1,0)</f>
        <v>0</v>
      </c>
      <c r="O59" s="14" t="s">
        <v>101</v>
      </c>
      <c r="P59" s="15">
        <v>21</v>
      </c>
      <c r="Q59" s="17" t="s">
        <v>411</v>
      </c>
      <c r="R59" s="16" t="s">
        <v>53</v>
      </c>
      <c r="S59" s="18" t="s">
        <v>75</v>
      </c>
      <c r="T59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59" s="19" t="s">
        <v>76</v>
      </c>
      <c r="V59" s="20" t="s">
        <v>6</v>
      </c>
      <c r="W59" s="20"/>
      <c r="X59" s="18"/>
      <c r="Y59" s="18">
        <f>IF(DataTable[[#This Row],[explanation1]]="BL",1,IF(DataTable[[#This Row],[explanation2]]="BL",1,IF(DataTable[[#This Row],[explanation1]]="BR",1,IF(DataTable[[#This Row],[explanation2]]="BR",1,0))))</f>
        <v>1</v>
      </c>
      <c r="Z59" s="18">
        <f>IF(DataTable[[#This Row],[explanation1]]="BL",1,IF(DataTable[[#This Row],[explanation2]]="BL",1,0))</f>
        <v>1</v>
      </c>
      <c r="AA59" s="18">
        <f>IF(DataTable[[#This Row],[explanation1]]="WJ",1,IF(DataTable[[#This Row],[explanation2]]="WJ",1,0))</f>
        <v>0</v>
      </c>
      <c r="AB59" s="18">
        <f>IF(DataTable[[#This Row],[explanation1]]="U",1,IF(DataTable[[#This Row],[explanation2]]="U",1,0))</f>
        <v>0</v>
      </c>
      <c r="AC59" s="18">
        <f>IF(DataTable[[#This Row],[explanation1]]="O",1,IF(DataTable[[#This Row],[explanation2]]="O",1,0))</f>
        <v>0</v>
      </c>
      <c r="AD59" s="18">
        <f>IF(DataTable[[#This Row],[explanation1]]="TP",1,IF(DataTable[[#This Row],[explanation2]]="TP",1,0))</f>
        <v>0</v>
      </c>
      <c r="AE59" s="18">
        <f>IF(DataTable[[#This Row],[explanation1]]="WP",1,IF(DataTable[[#This Row],[explanation2]]="WP",1,0))</f>
        <v>0</v>
      </c>
      <c r="AF59" s="18">
        <f>IF(DataTable[[#This Row],[explanation1]]="BR",1,IF(DataTable[[#This Row],[explanation2]]="BR",1,0))</f>
        <v>0</v>
      </c>
      <c r="AG59" s="18">
        <f>IF(DataTable[[#This Row],[explanation1]]="LS",1,IF(DataTable[[#This Row],[explanation2]]="LS",1,0))</f>
        <v>0</v>
      </c>
      <c r="AH59" s="20" t="s">
        <v>141</v>
      </c>
    </row>
    <row r="60" spans="1:34" x14ac:dyDescent="0.2">
      <c r="A60" s="22">
        <v>58</v>
      </c>
      <c r="B60" s="23" t="s">
        <v>44</v>
      </c>
      <c r="C60" s="24" t="s">
        <v>74</v>
      </c>
      <c r="D60" s="25">
        <v>50</v>
      </c>
      <c r="E60" s="23" t="s">
        <v>46</v>
      </c>
      <c r="F60" s="25">
        <v>25</v>
      </c>
      <c r="G60" s="23" t="s">
        <v>47</v>
      </c>
      <c r="H60" s="24" t="s">
        <v>48</v>
      </c>
      <c r="I60" s="25" t="str">
        <f t="shared" si="0"/>
        <v>R</v>
      </c>
      <c r="J60" s="23" t="s">
        <v>49</v>
      </c>
      <c r="K60" s="25" t="s">
        <v>50</v>
      </c>
      <c r="L60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60" s="24">
        <f>IF(DataTable[[#This Row],[3x head (H)/tail (T)?]]=DataTable[[#This Row],[then 4th: H/T/B/0]],1,0)</f>
        <v>0</v>
      </c>
      <c r="N60" s="24">
        <f>IF(DataTable[[#This Row],[then 4th: H/T/B/0]]="B",1,0)</f>
        <v>1</v>
      </c>
      <c r="O60" s="23" t="s">
        <v>101</v>
      </c>
      <c r="P60" s="24">
        <v>21</v>
      </c>
      <c r="Q60" s="26" t="s">
        <v>411</v>
      </c>
      <c r="R60" s="25" t="s">
        <v>53</v>
      </c>
      <c r="S60" s="27" t="s">
        <v>61</v>
      </c>
      <c r="T60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4</v>
      </c>
      <c r="U60" s="28" t="s">
        <v>142</v>
      </c>
      <c r="V60" s="29" t="s">
        <v>11</v>
      </c>
      <c r="W60" s="29"/>
      <c r="X60" s="27"/>
      <c r="Y60" s="27">
        <f>IF(DataTable[[#This Row],[explanation1]]="BL",1,IF(DataTable[[#This Row],[explanation2]]="BL",1,IF(DataTable[[#This Row],[explanation1]]="BR",1,IF(DataTable[[#This Row],[explanation2]]="BR",1,0))))</f>
        <v>0</v>
      </c>
      <c r="Z60" s="18">
        <f>IF(DataTable[[#This Row],[explanation1]]="BL",1,IF(DataTable[[#This Row],[explanation2]]="BL",1,0))</f>
        <v>0</v>
      </c>
      <c r="AA60" s="18">
        <f>IF(DataTable[[#This Row],[explanation1]]="WJ",1,IF(DataTable[[#This Row],[explanation2]]="WJ",1,0))</f>
        <v>0</v>
      </c>
      <c r="AB60" s="18">
        <f>IF(DataTable[[#This Row],[explanation1]]="U",1,IF(DataTable[[#This Row],[explanation2]]="U",1,0))</f>
        <v>0</v>
      </c>
      <c r="AC60" s="18">
        <f>IF(DataTable[[#This Row],[explanation1]]="O",1,IF(DataTable[[#This Row],[explanation2]]="O",1,0))</f>
        <v>0</v>
      </c>
      <c r="AD60" s="18">
        <f>IF(DataTable[[#This Row],[explanation1]]="TP",1,IF(DataTable[[#This Row],[explanation2]]="TP",1,0))</f>
        <v>0</v>
      </c>
      <c r="AE60" s="18">
        <f>IF(DataTable[[#This Row],[explanation1]]="WP",1,IF(DataTable[[#This Row],[explanation2]]="WP",1,0))</f>
        <v>1</v>
      </c>
      <c r="AF60" s="18">
        <f>IF(DataTable[[#This Row],[explanation1]]="BR",1,IF(DataTable[[#This Row],[explanation2]]="BR",1,0))</f>
        <v>0</v>
      </c>
      <c r="AG60" s="18">
        <f>IF(DataTable[[#This Row],[explanation1]]="LS",1,IF(DataTable[[#This Row],[explanation2]]="LS",1,0))</f>
        <v>0</v>
      </c>
      <c r="AH60" s="29" t="s">
        <v>143</v>
      </c>
    </row>
    <row r="61" spans="1:34" x14ac:dyDescent="0.2">
      <c r="A61" s="13">
        <v>59</v>
      </c>
      <c r="B61" s="14" t="s">
        <v>44</v>
      </c>
      <c r="C61" s="15" t="s">
        <v>74</v>
      </c>
      <c r="D61" s="16">
        <v>50</v>
      </c>
      <c r="E61" s="14" t="s">
        <v>46</v>
      </c>
      <c r="F61" s="16">
        <v>30</v>
      </c>
      <c r="G61" s="14" t="s">
        <v>47</v>
      </c>
      <c r="H61" s="15" t="s">
        <v>81</v>
      </c>
      <c r="I61" s="16" t="str">
        <f t="shared" si="0"/>
        <v>L1</v>
      </c>
      <c r="J61" s="14" t="s">
        <v>49</v>
      </c>
      <c r="K61" s="16" t="s">
        <v>50</v>
      </c>
      <c r="L61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61" s="15">
        <f>IF(DataTable[[#This Row],[3x head (H)/tail (T)?]]=DataTable[[#This Row],[then 4th: H/T/B/0]],1,0)</f>
        <v>0</v>
      </c>
      <c r="N61" s="15">
        <f>IF(DataTable[[#This Row],[then 4th: H/T/B/0]]="B",1,0)</f>
        <v>1</v>
      </c>
      <c r="O61" s="14" t="s">
        <v>101</v>
      </c>
      <c r="P61" s="15">
        <v>21</v>
      </c>
      <c r="Q61" s="17" t="s">
        <v>411</v>
      </c>
      <c r="R61" s="16" t="s">
        <v>53</v>
      </c>
      <c r="S61" s="18" t="s">
        <v>75</v>
      </c>
      <c r="T61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61" s="19" t="s">
        <v>76</v>
      </c>
      <c r="V61" s="20" t="s">
        <v>7</v>
      </c>
      <c r="W61" s="20" t="s">
        <v>10</v>
      </c>
      <c r="X61" s="18"/>
      <c r="Y61" s="18">
        <f>IF(DataTable[[#This Row],[explanation1]]="BL",1,IF(DataTable[[#This Row],[explanation2]]="BL",1,IF(DataTable[[#This Row],[explanation1]]="BR",1,IF(DataTable[[#This Row],[explanation2]]="BR",1,0))))</f>
        <v>0</v>
      </c>
      <c r="Z61" s="18">
        <f>IF(DataTable[[#This Row],[explanation1]]="BL",1,IF(DataTable[[#This Row],[explanation2]]="BL",1,0))</f>
        <v>0</v>
      </c>
      <c r="AA61" s="18">
        <f>IF(DataTable[[#This Row],[explanation1]]="WJ",1,IF(DataTable[[#This Row],[explanation2]]="WJ",1,0))</f>
        <v>1</v>
      </c>
      <c r="AB61" s="18">
        <f>IF(DataTable[[#This Row],[explanation1]]="U",1,IF(DataTable[[#This Row],[explanation2]]="U",1,0))</f>
        <v>0</v>
      </c>
      <c r="AC61" s="18">
        <f>IF(DataTable[[#This Row],[explanation1]]="O",1,IF(DataTable[[#This Row],[explanation2]]="O",1,0))</f>
        <v>0</v>
      </c>
      <c r="AD61" s="18">
        <f>IF(DataTable[[#This Row],[explanation1]]="TP",1,IF(DataTable[[#This Row],[explanation2]]="TP",1,0))</f>
        <v>1</v>
      </c>
      <c r="AE61" s="18">
        <f>IF(DataTable[[#This Row],[explanation1]]="WP",1,IF(DataTable[[#This Row],[explanation2]]="WP",1,0))</f>
        <v>0</v>
      </c>
      <c r="AF61" s="18">
        <f>IF(DataTable[[#This Row],[explanation1]]="BR",1,IF(DataTable[[#This Row],[explanation2]]="BR",1,0))</f>
        <v>0</v>
      </c>
      <c r="AG61" s="18">
        <f>IF(DataTable[[#This Row],[explanation1]]="LS",1,IF(DataTable[[#This Row],[explanation2]]="LS",1,0))</f>
        <v>0</v>
      </c>
      <c r="AH61" s="20" t="s">
        <v>144</v>
      </c>
    </row>
    <row r="62" spans="1:34" x14ac:dyDescent="0.2">
      <c r="A62" s="22">
        <v>60</v>
      </c>
      <c r="B62" s="23" t="s">
        <v>70</v>
      </c>
      <c r="C62" s="24" t="s">
        <v>74</v>
      </c>
      <c r="D62" s="25">
        <v>50</v>
      </c>
      <c r="E62" s="23" t="s">
        <v>58</v>
      </c>
      <c r="F62" s="25">
        <v>21</v>
      </c>
      <c r="G62" s="23" t="s">
        <v>70</v>
      </c>
      <c r="H62" s="24" t="s">
        <v>48</v>
      </c>
      <c r="I62" s="25" t="str">
        <f t="shared" si="0"/>
        <v>M5</v>
      </c>
      <c r="J62" s="23" t="s">
        <v>49</v>
      </c>
      <c r="K62" s="25" t="s">
        <v>49</v>
      </c>
      <c r="L62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62" s="24">
        <f>IF(DataTable[[#This Row],[3x head (H)/tail (T)?]]=DataTable[[#This Row],[then 4th: H/T/B/0]],1,0)</f>
        <v>1</v>
      </c>
      <c r="N62" s="24">
        <f>IF(DataTable[[#This Row],[then 4th: H/T/B/0]]="B",1,0)</f>
        <v>0</v>
      </c>
      <c r="O62" s="23" t="s">
        <v>101</v>
      </c>
      <c r="P62" s="24">
        <v>21</v>
      </c>
      <c r="Q62" s="26" t="s">
        <v>411</v>
      </c>
      <c r="R62" s="25" t="s">
        <v>53</v>
      </c>
      <c r="S62" s="27" t="s">
        <v>54</v>
      </c>
      <c r="T62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62" s="28" t="s">
        <v>100</v>
      </c>
      <c r="V62" s="29" t="s">
        <v>7</v>
      </c>
      <c r="W62" s="29"/>
      <c r="X62" s="27"/>
      <c r="Y62" s="27">
        <f>IF(DataTable[[#This Row],[explanation1]]="BL",1,IF(DataTable[[#This Row],[explanation2]]="BL",1,IF(DataTable[[#This Row],[explanation1]]="BR",1,IF(DataTable[[#This Row],[explanation2]]="BR",1,0))))</f>
        <v>0</v>
      </c>
      <c r="Z62" s="18">
        <f>IF(DataTable[[#This Row],[explanation1]]="BL",1,IF(DataTable[[#This Row],[explanation2]]="BL",1,0))</f>
        <v>0</v>
      </c>
      <c r="AA62" s="18">
        <f>IF(DataTable[[#This Row],[explanation1]]="WJ",1,IF(DataTable[[#This Row],[explanation2]]="WJ",1,0))</f>
        <v>1</v>
      </c>
      <c r="AB62" s="18">
        <f>IF(DataTable[[#This Row],[explanation1]]="U",1,IF(DataTable[[#This Row],[explanation2]]="U",1,0))</f>
        <v>0</v>
      </c>
      <c r="AC62" s="18">
        <f>IF(DataTable[[#This Row],[explanation1]]="O",1,IF(DataTable[[#This Row],[explanation2]]="O",1,0))</f>
        <v>0</v>
      </c>
      <c r="AD62" s="18">
        <f>IF(DataTable[[#This Row],[explanation1]]="TP",1,IF(DataTable[[#This Row],[explanation2]]="TP",1,0))</f>
        <v>0</v>
      </c>
      <c r="AE62" s="18">
        <f>IF(DataTable[[#This Row],[explanation1]]="WP",1,IF(DataTable[[#This Row],[explanation2]]="WP",1,0))</f>
        <v>0</v>
      </c>
      <c r="AF62" s="18">
        <f>IF(DataTable[[#This Row],[explanation1]]="BR",1,IF(DataTable[[#This Row],[explanation2]]="BR",1,0))</f>
        <v>0</v>
      </c>
      <c r="AG62" s="18">
        <f>IF(DataTable[[#This Row],[explanation1]]="LS",1,IF(DataTable[[#This Row],[explanation2]]="LS",1,0))</f>
        <v>0</v>
      </c>
      <c r="AH62" s="29" t="s">
        <v>7</v>
      </c>
    </row>
    <row r="63" spans="1:34" x14ac:dyDescent="0.2">
      <c r="A63" s="13">
        <v>61</v>
      </c>
      <c r="B63" s="14" t="s">
        <v>57</v>
      </c>
      <c r="C63" s="15" t="s">
        <v>45</v>
      </c>
      <c r="D63" s="16">
        <v>1</v>
      </c>
      <c r="E63" s="14" t="s">
        <v>46</v>
      </c>
      <c r="F63" s="16">
        <v>33</v>
      </c>
      <c r="G63" s="14" t="s">
        <v>47</v>
      </c>
      <c r="H63" s="15" t="s">
        <v>81</v>
      </c>
      <c r="I63" s="16" t="str">
        <f t="shared" si="0"/>
        <v>H1</v>
      </c>
      <c r="J63" s="14" t="s">
        <v>49</v>
      </c>
      <c r="K63" s="16" t="s">
        <v>50</v>
      </c>
      <c r="L63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63" s="15">
        <f>IF(DataTable[[#This Row],[3x head (H)/tail (T)?]]=DataTable[[#This Row],[then 4th: H/T/B/0]],1,0)</f>
        <v>0</v>
      </c>
      <c r="N63" s="15">
        <f>IF(DataTable[[#This Row],[then 4th: H/T/B/0]]="B",1,0)</f>
        <v>1</v>
      </c>
      <c r="O63" s="14" t="s">
        <v>145</v>
      </c>
      <c r="P63" s="15">
        <v>14</v>
      </c>
      <c r="Q63" s="17" t="s">
        <v>118</v>
      </c>
      <c r="R63" s="16" t="s">
        <v>53</v>
      </c>
      <c r="S63" s="18" t="s">
        <v>75</v>
      </c>
      <c r="T63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63" s="19" t="s">
        <v>76</v>
      </c>
      <c r="V63" s="20" t="s">
        <v>6</v>
      </c>
      <c r="W63" s="20" t="s">
        <v>10</v>
      </c>
      <c r="X63" s="18"/>
      <c r="Y63" s="18">
        <f>IF(DataTable[[#This Row],[explanation1]]="BL",1,IF(DataTable[[#This Row],[explanation2]]="BL",1,IF(DataTable[[#This Row],[explanation1]]="BR",1,IF(DataTable[[#This Row],[explanation2]]="BR",1,0))))</f>
        <v>1</v>
      </c>
      <c r="Z63" s="18">
        <f>IF(DataTable[[#This Row],[explanation1]]="BL",1,IF(DataTable[[#This Row],[explanation2]]="BL",1,0))</f>
        <v>1</v>
      </c>
      <c r="AA63" s="18">
        <f>IF(DataTable[[#This Row],[explanation1]]="WJ",1,IF(DataTable[[#This Row],[explanation2]]="WJ",1,0))</f>
        <v>0</v>
      </c>
      <c r="AB63" s="18">
        <f>IF(DataTable[[#This Row],[explanation1]]="U",1,IF(DataTable[[#This Row],[explanation2]]="U",1,0))</f>
        <v>0</v>
      </c>
      <c r="AC63" s="18">
        <f>IF(DataTable[[#This Row],[explanation1]]="O",1,IF(DataTable[[#This Row],[explanation2]]="O",1,0))</f>
        <v>0</v>
      </c>
      <c r="AD63" s="18">
        <f>IF(DataTable[[#This Row],[explanation1]]="TP",1,IF(DataTable[[#This Row],[explanation2]]="TP",1,0))</f>
        <v>1</v>
      </c>
      <c r="AE63" s="18">
        <f>IF(DataTable[[#This Row],[explanation1]]="WP",1,IF(DataTable[[#This Row],[explanation2]]="WP",1,0))</f>
        <v>0</v>
      </c>
      <c r="AF63" s="18">
        <f>IF(DataTable[[#This Row],[explanation1]]="BR",1,IF(DataTable[[#This Row],[explanation2]]="BR",1,0))</f>
        <v>0</v>
      </c>
      <c r="AG63" s="18">
        <f>IF(DataTable[[#This Row],[explanation1]]="LS",1,IF(DataTable[[#This Row],[explanation2]]="LS",1,0))</f>
        <v>0</v>
      </c>
      <c r="AH63" s="20" t="s">
        <v>146</v>
      </c>
    </row>
    <row r="64" spans="1:34" x14ac:dyDescent="0.2">
      <c r="A64" s="22">
        <v>62</v>
      </c>
      <c r="B64" s="23" t="s">
        <v>57</v>
      </c>
      <c r="C64" s="24" t="s">
        <v>45</v>
      </c>
      <c r="D64" s="25">
        <v>1</v>
      </c>
      <c r="E64" s="23" t="s">
        <v>58</v>
      </c>
      <c r="F64" s="25">
        <v>33</v>
      </c>
      <c r="G64" s="23" t="s">
        <v>47</v>
      </c>
      <c r="H64" s="24" t="s">
        <v>48</v>
      </c>
      <c r="I64" s="25" t="str">
        <f t="shared" si="0"/>
        <v>R</v>
      </c>
      <c r="J64" s="23" t="s">
        <v>49</v>
      </c>
      <c r="K64" s="25" t="s">
        <v>78</v>
      </c>
      <c r="L64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64" s="24">
        <f>IF(DataTable[[#This Row],[3x head (H)/tail (T)?]]=DataTable[[#This Row],[then 4th: H/T/B/0]],1,0)</f>
        <v>0</v>
      </c>
      <c r="N64" s="24">
        <f>IF(DataTable[[#This Row],[then 4th: H/T/B/0]]="B",1,0)</f>
        <v>0</v>
      </c>
      <c r="O64" s="23" t="s">
        <v>145</v>
      </c>
      <c r="P64" s="24">
        <v>14</v>
      </c>
      <c r="Q64" s="26" t="s">
        <v>118</v>
      </c>
      <c r="R64" s="25" t="s">
        <v>53</v>
      </c>
      <c r="S64" s="27" t="s">
        <v>75</v>
      </c>
      <c r="T64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64" s="28" t="s">
        <v>76</v>
      </c>
      <c r="V64" s="29" t="s">
        <v>6</v>
      </c>
      <c r="W64" s="29" t="s">
        <v>12</v>
      </c>
      <c r="X64" s="27"/>
      <c r="Y64" s="27">
        <f>IF(DataTable[[#This Row],[explanation1]]="BL",1,IF(DataTable[[#This Row],[explanation2]]="BL",1,IF(DataTable[[#This Row],[explanation1]]="BR",1,IF(DataTable[[#This Row],[explanation2]]="BR",1,0))))</f>
        <v>1</v>
      </c>
      <c r="Z64" s="18">
        <f>IF(DataTable[[#This Row],[explanation1]]="BL",1,IF(DataTable[[#This Row],[explanation2]]="BL",1,0))</f>
        <v>1</v>
      </c>
      <c r="AA64" s="18">
        <f>IF(DataTable[[#This Row],[explanation1]]="WJ",1,IF(DataTable[[#This Row],[explanation2]]="WJ",1,0))</f>
        <v>0</v>
      </c>
      <c r="AB64" s="18">
        <f>IF(DataTable[[#This Row],[explanation1]]="U",1,IF(DataTable[[#This Row],[explanation2]]="U",1,0))</f>
        <v>0</v>
      </c>
      <c r="AC64" s="18">
        <f>IF(DataTable[[#This Row],[explanation1]]="O",1,IF(DataTable[[#This Row],[explanation2]]="O",1,0))</f>
        <v>0</v>
      </c>
      <c r="AD64" s="18">
        <f>IF(DataTable[[#This Row],[explanation1]]="TP",1,IF(DataTable[[#This Row],[explanation2]]="TP",1,0))</f>
        <v>0</v>
      </c>
      <c r="AE64" s="18">
        <f>IF(DataTable[[#This Row],[explanation1]]="WP",1,IF(DataTable[[#This Row],[explanation2]]="WP",1,0))</f>
        <v>0</v>
      </c>
      <c r="AF64" s="18">
        <f>IF(DataTable[[#This Row],[explanation1]]="BR",1,IF(DataTable[[#This Row],[explanation2]]="BR",1,0))</f>
        <v>1</v>
      </c>
      <c r="AG64" s="18">
        <f>IF(DataTable[[#This Row],[explanation1]]="LS",1,IF(DataTable[[#This Row],[explanation2]]="LS",1,0))</f>
        <v>0</v>
      </c>
      <c r="AH64" s="29" t="s">
        <v>147</v>
      </c>
    </row>
    <row r="65" spans="1:34" x14ac:dyDescent="0.2">
      <c r="A65" s="13">
        <v>63</v>
      </c>
      <c r="B65" s="14" t="s">
        <v>57</v>
      </c>
      <c r="C65" s="15" t="s">
        <v>45</v>
      </c>
      <c r="D65" s="16">
        <v>1</v>
      </c>
      <c r="E65" s="14" t="s">
        <v>58</v>
      </c>
      <c r="F65" s="16">
        <v>32</v>
      </c>
      <c r="G65" s="14" t="s">
        <v>47</v>
      </c>
      <c r="H65" s="15" t="s">
        <v>48</v>
      </c>
      <c r="I65" s="16" t="str">
        <f t="shared" si="0"/>
        <v>R</v>
      </c>
      <c r="J65" s="14" t="s">
        <v>49</v>
      </c>
      <c r="K65" s="16" t="s">
        <v>50</v>
      </c>
      <c r="L65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65" s="15">
        <f>IF(DataTable[[#This Row],[3x head (H)/tail (T)?]]=DataTable[[#This Row],[then 4th: H/T/B/0]],1,0)</f>
        <v>0</v>
      </c>
      <c r="N65" s="15">
        <f>IF(DataTable[[#This Row],[then 4th: H/T/B/0]]="B",1,0)</f>
        <v>1</v>
      </c>
      <c r="O65" s="14" t="s">
        <v>145</v>
      </c>
      <c r="P65" s="15">
        <v>14</v>
      </c>
      <c r="Q65" s="17" t="s">
        <v>118</v>
      </c>
      <c r="R65" s="16" t="s">
        <v>53</v>
      </c>
      <c r="S65" s="18" t="s">
        <v>75</v>
      </c>
      <c r="T65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65" s="19" t="s">
        <v>76</v>
      </c>
      <c r="V65" s="20" t="s">
        <v>8</v>
      </c>
      <c r="W65" s="20"/>
      <c r="X65" s="20" t="s">
        <v>148</v>
      </c>
      <c r="Y65" s="20">
        <f>IF(DataTable[[#This Row],[explanation1]]="BL",1,IF(DataTable[[#This Row],[explanation2]]="BL",1,IF(DataTable[[#This Row],[explanation1]]="BR",1,IF(DataTable[[#This Row],[explanation2]]="BR",1,0))))</f>
        <v>0</v>
      </c>
      <c r="Z65" s="18">
        <f>IF(DataTable[[#This Row],[explanation1]]="BL",1,IF(DataTable[[#This Row],[explanation2]]="BL",1,0))</f>
        <v>0</v>
      </c>
      <c r="AA65" s="18">
        <f>IF(DataTable[[#This Row],[explanation1]]="WJ",1,IF(DataTable[[#This Row],[explanation2]]="WJ",1,0))</f>
        <v>0</v>
      </c>
      <c r="AB65" s="18">
        <f>IF(DataTable[[#This Row],[explanation1]]="U",1,IF(DataTable[[#This Row],[explanation2]]="U",1,0))</f>
        <v>1</v>
      </c>
      <c r="AC65" s="18">
        <f>IF(DataTable[[#This Row],[explanation1]]="O",1,IF(DataTable[[#This Row],[explanation2]]="O",1,0))</f>
        <v>0</v>
      </c>
      <c r="AD65" s="18">
        <f>IF(DataTable[[#This Row],[explanation1]]="TP",1,IF(DataTable[[#This Row],[explanation2]]="TP",1,0))</f>
        <v>0</v>
      </c>
      <c r="AE65" s="18">
        <f>IF(DataTable[[#This Row],[explanation1]]="WP",1,IF(DataTable[[#This Row],[explanation2]]="WP",1,0))</f>
        <v>0</v>
      </c>
      <c r="AF65" s="18">
        <f>IF(DataTable[[#This Row],[explanation1]]="BR",1,IF(DataTable[[#This Row],[explanation2]]="BR",1,0))</f>
        <v>0</v>
      </c>
      <c r="AG65" s="18">
        <f>IF(DataTable[[#This Row],[explanation1]]="LS",1,IF(DataTable[[#This Row],[explanation2]]="LS",1,0))</f>
        <v>0</v>
      </c>
      <c r="AH65" s="20" t="s">
        <v>148</v>
      </c>
    </row>
    <row r="66" spans="1:34" x14ac:dyDescent="0.2">
      <c r="A66" s="22">
        <v>64</v>
      </c>
      <c r="B66" s="23" t="s">
        <v>57</v>
      </c>
      <c r="C66" s="24" t="s">
        <v>45</v>
      </c>
      <c r="D66" s="25">
        <v>1</v>
      </c>
      <c r="E66" s="23" t="s">
        <v>46</v>
      </c>
      <c r="F66" s="25">
        <v>22</v>
      </c>
      <c r="G66" s="23" t="s">
        <v>47</v>
      </c>
      <c r="H66" s="24" t="s">
        <v>48</v>
      </c>
      <c r="I66" s="25" t="str">
        <f t="shared" si="0"/>
        <v>R</v>
      </c>
      <c r="J66" s="23" t="s">
        <v>49</v>
      </c>
      <c r="K66" s="25" t="s">
        <v>78</v>
      </c>
      <c r="L66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66" s="24">
        <f>IF(DataTable[[#This Row],[3x head (H)/tail (T)?]]=DataTable[[#This Row],[then 4th: H/T/B/0]],1,0)</f>
        <v>0</v>
      </c>
      <c r="N66" s="24">
        <f>IF(DataTable[[#This Row],[then 4th: H/T/B/0]]="B",1,0)</f>
        <v>0</v>
      </c>
      <c r="O66" s="23" t="s">
        <v>145</v>
      </c>
      <c r="P66" s="24">
        <v>14</v>
      </c>
      <c r="Q66" s="26" t="s">
        <v>118</v>
      </c>
      <c r="R66" s="25" t="s">
        <v>53</v>
      </c>
      <c r="S66" s="27" t="s">
        <v>61</v>
      </c>
      <c r="T66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4</v>
      </c>
      <c r="U66" s="28" t="s">
        <v>149</v>
      </c>
      <c r="V66" s="29" t="s">
        <v>12</v>
      </c>
      <c r="W66" s="29"/>
      <c r="X66" s="27"/>
      <c r="Y66" s="27">
        <f>IF(DataTable[[#This Row],[explanation1]]="BL",1,IF(DataTable[[#This Row],[explanation2]]="BL",1,IF(DataTable[[#This Row],[explanation1]]="BR",1,IF(DataTable[[#This Row],[explanation2]]="BR",1,0))))</f>
        <v>1</v>
      </c>
      <c r="Z66" s="18">
        <f>IF(DataTable[[#This Row],[explanation1]]="BL",1,IF(DataTable[[#This Row],[explanation2]]="BL",1,0))</f>
        <v>0</v>
      </c>
      <c r="AA66" s="18">
        <f>IF(DataTable[[#This Row],[explanation1]]="WJ",1,IF(DataTable[[#This Row],[explanation2]]="WJ",1,0))</f>
        <v>0</v>
      </c>
      <c r="AB66" s="18">
        <f>IF(DataTable[[#This Row],[explanation1]]="U",1,IF(DataTable[[#This Row],[explanation2]]="U",1,0))</f>
        <v>0</v>
      </c>
      <c r="AC66" s="18">
        <f>IF(DataTable[[#This Row],[explanation1]]="O",1,IF(DataTable[[#This Row],[explanation2]]="O",1,0))</f>
        <v>0</v>
      </c>
      <c r="AD66" s="18">
        <f>IF(DataTable[[#This Row],[explanation1]]="TP",1,IF(DataTable[[#This Row],[explanation2]]="TP",1,0))</f>
        <v>0</v>
      </c>
      <c r="AE66" s="18">
        <f>IF(DataTable[[#This Row],[explanation1]]="WP",1,IF(DataTable[[#This Row],[explanation2]]="WP",1,0))</f>
        <v>0</v>
      </c>
      <c r="AF66" s="18">
        <f>IF(DataTable[[#This Row],[explanation1]]="BR",1,IF(DataTable[[#This Row],[explanation2]]="BR",1,0))</f>
        <v>1</v>
      </c>
      <c r="AG66" s="18">
        <f>IF(DataTable[[#This Row],[explanation1]]="LS",1,IF(DataTable[[#This Row],[explanation2]]="LS",1,0))</f>
        <v>0</v>
      </c>
      <c r="AH66" s="29" t="s">
        <v>63</v>
      </c>
    </row>
    <row r="67" spans="1:34" x14ac:dyDescent="0.2">
      <c r="A67" s="13">
        <v>65</v>
      </c>
      <c r="B67" s="14" t="s">
        <v>57</v>
      </c>
      <c r="C67" s="15" t="s">
        <v>45</v>
      </c>
      <c r="D67" s="16">
        <v>1</v>
      </c>
      <c r="E67" s="14" t="s">
        <v>58</v>
      </c>
      <c r="F67" s="16">
        <v>42</v>
      </c>
      <c r="G67" s="14" t="s">
        <v>47</v>
      </c>
      <c r="H67" s="15" t="s">
        <v>48</v>
      </c>
      <c r="I67" s="16" t="str">
        <f t="shared" ref="I67:I130" si="1">IF(H67="NIE",G67,IF(G67="R",B67,"R"))</f>
        <v>R</v>
      </c>
      <c r="J67" s="14" t="s">
        <v>49</v>
      </c>
      <c r="K67" s="16" t="s">
        <v>49</v>
      </c>
      <c r="L67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67" s="15">
        <f>IF(DataTable[[#This Row],[3x head (H)/tail (T)?]]=DataTable[[#This Row],[then 4th: H/T/B/0]],1,0)</f>
        <v>1</v>
      </c>
      <c r="N67" s="15">
        <f>IF(DataTable[[#This Row],[then 4th: H/T/B/0]]="B",1,0)</f>
        <v>0</v>
      </c>
      <c r="O67" s="14" t="s">
        <v>145</v>
      </c>
      <c r="P67" s="15">
        <v>14</v>
      </c>
      <c r="Q67" s="17" t="s">
        <v>118</v>
      </c>
      <c r="R67" s="16" t="s">
        <v>53</v>
      </c>
      <c r="S67" s="18" t="s">
        <v>75</v>
      </c>
      <c r="T67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67" s="19" t="s">
        <v>76</v>
      </c>
      <c r="V67" s="20" t="s">
        <v>8</v>
      </c>
      <c r="W67" s="20"/>
      <c r="X67" s="18"/>
      <c r="Y67" s="18">
        <f>IF(DataTable[[#This Row],[explanation1]]="BL",1,IF(DataTable[[#This Row],[explanation2]]="BL",1,IF(DataTable[[#This Row],[explanation1]]="BR",1,IF(DataTable[[#This Row],[explanation2]]="BR",1,0))))</f>
        <v>0</v>
      </c>
      <c r="Z67" s="18">
        <f>IF(DataTable[[#This Row],[explanation1]]="BL",1,IF(DataTable[[#This Row],[explanation2]]="BL",1,0))</f>
        <v>0</v>
      </c>
      <c r="AA67" s="18">
        <f>IF(DataTable[[#This Row],[explanation1]]="WJ",1,IF(DataTable[[#This Row],[explanation2]]="WJ",1,0))</f>
        <v>0</v>
      </c>
      <c r="AB67" s="18">
        <f>IF(DataTable[[#This Row],[explanation1]]="U",1,IF(DataTable[[#This Row],[explanation2]]="U",1,0))</f>
        <v>1</v>
      </c>
      <c r="AC67" s="18">
        <f>IF(DataTable[[#This Row],[explanation1]]="O",1,IF(DataTable[[#This Row],[explanation2]]="O",1,0))</f>
        <v>0</v>
      </c>
      <c r="AD67" s="18">
        <f>IF(DataTable[[#This Row],[explanation1]]="TP",1,IF(DataTable[[#This Row],[explanation2]]="TP",1,0))</f>
        <v>0</v>
      </c>
      <c r="AE67" s="18">
        <f>IF(DataTable[[#This Row],[explanation1]]="WP",1,IF(DataTable[[#This Row],[explanation2]]="WP",1,0))</f>
        <v>0</v>
      </c>
      <c r="AF67" s="18">
        <f>IF(DataTable[[#This Row],[explanation1]]="BR",1,IF(DataTable[[#This Row],[explanation2]]="BR",1,0))</f>
        <v>0</v>
      </c>
      <c r="AG67" s="18">
        <f>IF(DataTable[[#This Row],[explanation1]]="LS",1,IF(DataTable[[#This Row],[explanation2]]="LS",1,0))</f>
        <v>0</v>
      </c>
      <c r="AH67" s="20" t="s">
        <v>150</v>
      </c>
    </row>
    <row r="68" spans="1:34" x14ac:dyDescent="0.2">
      <c r="A68" s="22">
        <v>66</v>
      </c>
      <c r="B68" s="23" t="s">
        <v>57</v>
      </c>
      <c r="C68" s="24" t="s">
        <v>45</v>
      </c>
      <c r="D68" s="25">
        <v>1</v>
      </c>
      <c r="E68" s="23" t="s">
        <v>46</v>
      </c>
      <c r="F68" s="25">
        <v>44</v>
      </c>
      <c r="G68" s="23" t="s">
        <v>47</v>
      </c>
      <c r="H68" s="24" t="s">
        <v>48</v>
      </c>
      <c r="I68" s="25" t="str">
        <f t="shared" si="1"/>
        <v>R</v>
      </c>
      <c r="J68" s="23" t="s">
        <v>49</v>
      </c>
      <c r="K68" s="25" t="s">
        <v>50</v>
      </c>
      <c r="L68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68" s="24">
        <f>IF(DataTable[[#This Row],[3x head (H)/tail (T)?]]=DataTable[[#This Row],[then 4th: H/T/B/0]],1,0)</f>
        <v>0</v>
      </c>
      <c r="N68" s="24">
        <f>IF(DataTable[[#This Row],[then 4th: H/T/B/0]]="B",1,0)</f>
        <v>1</v>
      </c>
      <c r="O68" s="23" t="s">
        <v>145</v>
      </c>
      <c r="P68" s="24">
        <v>14</v>
      </c>
      <c r="Q68" s="26" t="s">
        <v>118</v>
      </c>
      <c r="R68" s="25" t="s">
        <v>53</v>
      </c>
      <c r="S68" s="27" t="s">
        <v>65</v>
      </c>
      <c r="T68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68" s="28" t="s">
        <v>95</v>
      </c>
      <c r="V68" s="29" t="s">
        <v>12</v>
      </c>
      <c r="W68" s="29"/>
      <c r="X68" s="27"/>
      <c r="Y68" s="27">
        <f>IF(DataTable[[#This Row],[explanation1]]="BL",1,IF(DataTable[[#This Row],[explanation2]]="BL",1,IF(DataTable[[#This Row],[explanation1]]="BR",1,IF(DataTable[[#This Row],[explanation2]]="BR",1,0))))</f>
        <v>1</v>
      </c>
      <c r="Z68" s="18">
        <f>IF(DataTable[[#This Row],[explanation1]]="BL",1,IF(DataTable[[#This Row],[explanation2]]="BL",1,0))</f>
        <v>0</v>
      </c>
      <c r="AA68" s="18">
        <f>IF(DataTable[[#This Row],[explanation1]]="WJ",1,IF(DataTable[[#This Row],[explanation2]]="WJ",1,0))</f>
        <v>0</v>
      </c>
      <c r="AB68" s="18">
        <f>IF(DataTable[[#This Row],[explanation1]]="U",1,IF(DataTable[[#This Row],[explanation2]]="U",1,0))</f>
        <v>0</v>
      </c>
      <c r="AC68" s="18">
        <f>IF(DataTable[[#This Row],[explanation1]]="O",1,IF(DataTable[[#This Row],[explanation2]]="O",1,0))</f>
        <v>0</v>
      </c>
      <c r="AD68" s="18">
        <f>IF(DataTable[[#This Row],[explanation1]]="TP",1,IF(DataTable[[#This Row],[explanation2]]="TP",1,0))</f>
        <v>0</v>
      </c>
      <c r="AE68" s="18">
        <f>IF(DataTable[[#This Row],[explanation1]]="WP",1,IF(DataTable[[#This Row],[explanation2]]="WP",1,0))</f>
        <v>0</v>
      </c>
      <c r="AF68" s="18">
        <f>IF(DataTable[[#This Row],[explanation1]]="BR",1,IF(DataTable[[#This Row],[explanation2]]="BR",1,0))</f>
        <v>1</v>
      </c>
      <c r="AG68" s="18">
        <f>IF(DataTable[[#This Row],[explanation1]]="LS",1,IF(DataTable[[#This Row],[explanation2]]="LS",1,0))</f>
        <v>0</v>
      </c>
      <c r="AH68" s="29" t="s">
        <v>151</v>
      </c>
    </row>
    <row r="69" spans="1:34" x14ac:dyDescent="0.2">
      <c r="A69" s="13">
        <v>67</v>
      </c>
      <c r="B69" s="14" t="s">
        <v>57</v>
      </c>
      <c r="C69" s="15" t="s">
        <v>74</v>
      </c>
      <c r="D69" s="16">
        <v>1</v>
      </c>
      <c r="E69" s="14" t="s">
        <v>58</v>
      </c>
      <c r="F69" s="16">
        <v>41</v>
      </c>
      <c r="G69" s="14" t="s">
        <v>47</v>
      </c>
      <c r="H69" s="15" t="s">
        <v>48</v>
      </c>
      <c r="I69" s="16" t="str">
        <f t="shared" si="1"/>
        <v>R</v>
      </c>
      <c r="J69" s="14" t="s">
        <v>49</v>
      </c>
      <c r="K69" s="16" t="s">
        <v>50</v>
      </c>
      <c r="L69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69" s="15">
        <f>IF(DataTable[[#This Row],[3x head (H)/tail (T)?]]=DataTable[[#This Row],[then 4th: H/T/B/0]],1,0)</f>
        <v>0</v>
      </c>
      <c r="N69" s="15">
        <f>IF(DataTable[[#This Row],[then 4th: H/T/B/0]]="B",1,0)</f>
        <v>1</v>
      </c>
      <c r="O69" s="14" t="s">
        <v>145</v>
      </c>
      <c r="P69" s="15">
        <v>14</v>
      </c>
      <c r="Q69" s="17" t="s">
        <v>118</v>
      </c>
      <c r="R69" s="16" t="s">
        <v>53</v>
      </c>
      <c r="S69" s="18" t="s">
        <v>75</v>
      </c>
      <c r="T69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69" s="19" t="s">
        <v>76</v>
      </c>
      <c r="V69" s="20" t="s">
        <v>6</v>
      </c>
      <c r="W69" s="20" t="s">
        <v>12</v>
      </c>
      <c r="X69" s="18"/>
      <c r="Y69" s="18">
        <f>IF(DataTable[[#This Row],[explanation1]]="BL",1,IF(DataTable[[#This Row],[explanation2]]="BL",1,IF(DataTable[[#This Row],[explanation1]]="BR",1,IF(DataTable[[#This Row],[explanation2]]="BR",1,0))))</f>
        <v>1</v>
      </c>
      <c r="Z69" s="18">
        <f>IF(DataTable[[#This Row],[explanation1]]="BL",1,IF(DataTable[[#This Row],[explanation2]]="BL",1,0))</f>
        <v>1</v>
      </c>
      <c r="AA69" s="18">
        <f>IF(DataTable[[#This Row],[explanation1]]="WJ",1,IF(DataTable[[#This Row],[explanation2]]="WJ",1,0))</f>
        <v>0</v>
      </c>
      <c r="AB69" s="18">
        <f>IF(DataTable[[#This Row],[explanation1]]="U",1,IF(DataTable[[#This Row],[explanation2]]="U",1,0))</f>
        <v>0</v>
      </c>
      <c r="AC69" s="18">
        <f>IF(DataTable[[#This Row],[explanation1]]="O",1,IF(DataTable[[#This Row],[explanation2]]="O",1,0))</f>
        <v>0</v>
      </c>
      <c r="AD69" s="18">
        <f>IF(DataTable[[#This Row],[explanation1]]="TP",1,IF(DataTable[[#This Row],[explanation2]]="TP",1,0))</f>
        <v>0</v>
      </c>
      <c r="AE69" s="18">
        <f>IF(DataTable[[#This Row],[explanation1]]="WP",1,IF(DataTable[[#This Row],[explanation2]]="WP",1,0))</f>
        <v>0</v>
      </c>
      <c r="AF69" s="18">
        <f>IF(DataTable[[#This Row],[explanation1]]="BR",1,IF(DataTable[[#This Row],[explanation2]]="BR",1,0))</f>
        <v>1</v>
      </c>
      <c r="AG69" s="18">
        <f>IF(DataTable[[#This Row],[explanation1]]="LS",1,IF(DataTable[[#This Row],[explanation2]]="LS",1,0))</f>
        <v>0</v>
      </c>
      <c r="AH69" s="20" t="s">
        <v>152</v>
      </c>
    </row>
    <row r="70" spans="1:34" x14ac:dyDescent="0.2">
      <c r="A70" s="22">
        <v>68</v>
      </c>
      <c r="B70" s="23" t="s">
        <v>57</v>
      </c>
      <c r="C70" s="24" t="s">
        <v>74</v>
      </c>
      <c r="D70" s="25">
        <v>1</v>
      </c>
      <c r="E70" s="23" t="s">
        <v>58</v>
      </c>
      <c r="F70" s="25">
        <v>30</v>
      </c>
      <c r="G70" s="23" t="s">
        <v>47</v>
      </c>
      <c r="H70" s="24" t="s">
        <v>81</v>
      </c>
      <c r="I70" s="25" t="str">
        <f t="shared" si="1"/>
        <v>H1</v>
      </c>
      <c r="J70" s="23" t="s">
        <v>49</v>
      </c>
      <c r="K70" s="25" t="s">
        <v>50</v>
      </c>
      <c r="L70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70" s="24">
        <f>IF(DataTable[[#This Row],[3x head (H)/tail (T)?]]=DataTable[[#This Row],[then 4th: H/T/B/0]],1,0)</f>
        <v>0</v>
      </c>
      <c r="N70" s="24">
        <f>IF(DataTable[[#This Row],[then 4th: H/T/B/0]]="B",1,0)</f>
        <v>1</v>
      </c>
      <c r="O70" s="23" t="s">
        <v>145</v>
      </c>
      <c r="P70" s="24">
        <v>14</v>
      </c>
      <c r="Q70" s="26" t="s">
        <v>118</v>
      </c>
      <c r="R70" s="25" t="s">
        <v>53</v>
      </c>
      <c r="S70" s="27" t="s">
        <v>54</v>
      </c>
      <c r="T70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70" s="28" t="s">
        <v>153</v>
      </c>
      <c r="V70" s="29" t="s">
        <v>7</v>
      </c>
      <c r="W70" s="29" t="s">
        <v>10</v>
      </c>
      <c r="X70" s="27"/>
      <c r="Y70" s="27">
        <f>IF(DataTable[[#This Row],[explanation1]]="BL",1,IF(DataTable[[#This Row],[explanation2]]="BL",1,IF(DataTable[[#This Row],[explanation1]]="BR",1,IF(DataTable[[#This Row],[explanation2]]="BR",1,0))))</f>
        <v>0</v>
      </c>
      <c r="Z70" s="18">
        <f>IF(DataTable[[#This Row],[explanation1]]="BL",1,IF(DataTable[[#This Row],[explanation2]]="BL",1,0))</f>
        <v>0</v>
      </c>
      <c r="AA70" s="18">
        <f>IF(DataTable[[#This Row],[explanation1]]="WJ",1,IF(DataTable[[#This Row],[explanation2]]="WJ",1,0))</f>
        <v>1</v>
      </c>
      <c r="AB70" s="18">
        <f>IF(DataTable[[#This Row],[explanation1]]="U",1,IF(DataTable[[#This Row],[explanation2]]="U",1,0))</f>
        <v>0</v>
      </c>
      <c r="AC70" s="18">
        <f>IF(DataTable[[#This Row],[explanation1]]="O",1,IF(DataTable[[#This Row],[explanation2]]="O",1,0))</f>
        <v>0</v>
      </c>
      <c r="AD70" s="18">
        <f>IF(DataTable[[#This Row],[explanation1]]="TP",1,IF(DataTable[[#This Row],[explanation2]]="TP",1,0))</f>
        <v>1</v>
      </c>
      <c r="AE70" s="18">
        <f>IF(DataTable[[#This Row],[explanation1]]="WP",1,IF(DataTable[[#This Row],[explanation2]]="WP",1,0))</f>
        <v>0</v>
      </c>
      <c r="AF70" s="18">
        <f>IF(DataTable[[#This Row],[explanation1]]="BR",1,IF(DataTable[[#This Row],[explanation2]]="BR",1,0))</f>
        <v>0</v>
      </c>
      <c r="AG70" s="18">
        <f>IF(DataTable[[#This Row],[explanation1]]="LS",1,IF(DataTable[[#This Row],[explanation2]]="LS",1,0))</f>
        <v>0</v>
      </c>
      <c r="AH70" s="29" t="s">
        <v>154</v>
      </c>
    </row>
    <row r="71" spans="1:34" x14ac:dyDescent="0.2">
      <c r="A71" s="13">
        <v>69</v>
      </c>
      <c r="B71" s="14" t="s">
        <v>57</v>
      </c>
      <c r="C71" s="15" t="s">
        <v>45</v>
      </c>
      <c r="D71" s="16">
        <v>50</v>
      </c>
      <c r="E71" s="14" t="s">
        <v>58</v>
      </c>
      <c r="F71" s="16">
        <v>28</v>
      </c>
      <c r="G71" s="14" t="s">
        <v>47</v>
      </c>
      <c r="H71" s="15" t="s">
        <v>48</v>
      </c>
      <c r="I71" s="16" t="str">
        <f t="shared" si="1"/>
        <v>R</v>
      </c>
      <c r="J71" s="14" t="s">
        <v>49</v>
      </c>
      <c r="K71" s="16" t="s">
        <v>49</v>
      </c>
      <c r="L71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71" s="15">
        <f>IF(DataTable[[#This Row],[3x head (H)/tail (T)?]]=DataTable[[#This Row],[then 4th: H/T/B/0]],1,0)</f>
        <v>1</v>
      </c>
      <c r="N71" s="15">
        <f>IF(DataTable[[#This Row],[then 4th: H/T/B/0]]="B",1,0)</f>
        <v>0</v>
      </c>
      <c r="O71" s="14" t="s">
        <v>145</v>
      </c>
      <c r="P71" s="15">
        <v>14</v>
      </c>
      <c r="Q71" s="17" t="s">
        <v>118</v>
      </c>
      <c r="R71" s="16" t="s">
        <v>53</v>
      </c>
      <c r="S71" s="18" t="s">
        <v>54</v>
      </c>
      <c r="T71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71" s="19" t="s">
        <v>72</v>
      </c>
      <c r="V71" s="20" t="s">
        <v>12</v>
      </c>
      <c r="W71" s="20"/>
      <c r="X71" s="18"/>
      <c r="Y71" s="18">
        <f>IF(DataTable[[#This Row],[explanation1]]="BL",1,IF(DataTable[[#This Row],[explanation2]]="BL",1,IF(DataTable[[#This Row],[explanation1]]="BR",1,IF(DataTable[[#This Row],[explanation2]]="BR",1,0))))</f>
        <v>1</v>
      </c>
      <c r="Z71" s="18">
        <f>IF(DataTable[[#This Row],[explanation1]]="BL",1,IF(DataTable[[#This Row],[explanation2]]="BL",1,0))</f>
        <v>0</v>
      </c>
      <c r="AA71" s="18">
        <f>IF(DataTable[[#This Row],[explanation1]]="WJ",1,IF(DataTable[[#This Row],[explanation2]]="WJ",1,0))</f>
        <v>0</v>
      </c>
      <c r="AB71" s="18">
        <f>IF(DataTable[[#This Row],[explanation1]]="U",1,IF(DataTable[[#This Row],[explanation2]]="U",1,0))</f>
        <v>0</v>
      </c>
      <c r="AC71" s="18">
        <f>IF(DataTable[[#This Row],[explanation1]]="O",1,IF(DataTable[[#This Row],[explanation2]]="O",1,0))</f>
        <v>0</v>
      </c>
      <c r="AD71" s="18">
        <f>IF(DataTable[[#This Row],[explanation1]]="TP",1,IF(DataTable[[#This Row],[explanation2]]="TP",1,0))</f>
        <v>0</v>
      </c>
      <c r="AE71" s="18">
        <f>IF(DataTable[[#This Row],[explanation1]]="WP",1,IF(DataTable[[#This Row],[explanation2]]="WP",1,0))</f>
        <v>0</v>
      </c>
      <c r="AF71" s="18">
        <f>IF(DataTable[[#This Row],[explanation1]]="BR",1,IF(DataTable[[#This Row],[explanation2]]="BR",1,0))</f>
        <v>1</v>
      </c>
      <c r="AG71" s="18">
        <f>IF(DataTable[[#This Row],[explanation1]]="LS",1,IF(DataTable[[#This Row],[explanation2]]="LS",1,0))</f>
        <v>0</v>
      </c>
      <c r="AH71" s="20" t="s">
        <v>155</v>
      </c>
    </row>
    <row r="72" spans="1:34" x14ac:dyDescent="0.2">
      <c r="A72" s="22">
        <v>70</v>
      </c>
      <c r="B72" s="23" t="s">
        <v>57</v>
      </c>
      <c r="C72" s="24" t="s">
        <v>45</v>
      </c>
      <c r="D72" s="25">
        <v>50</v>
      </c>
      <c r="E72" s="23" t="s">
        <v>58</v>
      </c>
      <c r="F72" s="25">
        <v>21</v>
      </c>
      <c r="G72" s="23" t="s">
        <v>57</v>
      </c>
      <c r="H72" s="24" t="s">
        <v>48</v>
      </c>
      <c r="I72" s="25" t="str">
        <f t="shared" si="1"/>
        <v>H1</v>
      </c>
      <c r="J72" s="23" t="s">
        <v>49</v>
      </c>
      <c r="K72" s="25" t="s">
        <v>49</v>
      </c>
      <c r="L72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72" s="24">
        <f>IF(DataTable[[#This Row],[3x head (H)/tail (T)?]]=DataTable[[#This Row],[then 4th: H/T/B/0]],1,0)</f>
        <v>1</v>
      </c>
      <c r="N72" s="24">
        <f>IF(DataTable[[#This Row],[then 4th: H/T/B/0]]="B",1,0)</f>
        <v>0</v>
      </c>
      <c r="O72" s="23" t="s">
        <v>145</v>
      </c>
      <c r="P72" s="24">
        <v>14</v>
      </c>
      <c r="Q72" s="26" t="s">
        <v>118</v>
      </c>
      <c r="R72" s="25" t="s">
        <v>53</v>
      </c>
      <c r="S72" s="27" t="s">
        <v>54</v>
      </c>
      <c r="T72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72" s="28" t="s">
        <v>88</v>
      </c>
      <c r="V72" s="29" t="s">
        <v>13</v>
      </c>
      <c r="W72" s="29"/>
      <c r="X72" s="27"/>
      <c r="Y72" s="27">
        <f>IF(DataTable[[#This Row],[explanation1]]="BL",1,IF(DataTable[[#This Row],[explanation2]]="BL",1,IF(DataTable[[#This Row],[explanation1]]="BR",1,IF(DataTable[[#This Row],[explanation2]]="BR",1,0))))</f>
        <v>0</v>
      </c>
      <c r="Z72" s="18">
        <f>IF(DataTable[[#This Row],[explanation1]]="BL",1,IF(DataTable[[#This Row],[explanation2]]="BL",1,0))</f>
        <v>0</v>
      </c>
      <c r="AA72" s="18">
        <f>IF(DataTable[[#This Row],[explanation1]]="WJ",1,IF(DataTable[[#This Row],[explanation2]]="WJ",1,0))</f>
        <v>0</v>
      </c>
      <c r="AB72" s="18">
        <f>IF(DataTable[[#This Row],[explanation1]]="U",1,IF(DataTable[[#This Row],[explanation2]]="U",1,0))</f>
        <v>0</v>
      </c>
      <c r="AC72" s="18">
        <f>IF(DataTable[[#This Row],[explanation1]]="O",1,IF(DataTable[[#This Row],[explanation2]]="O",1,0))</f>
        <v>0</v>
      </c>
      <c r="AD72" s="18">
        <f>IF(DataTable[[#This Row],[explanation1]]="TP",1,IF(DataTable[[#This Row],[explanation2]]="TP",1,0))</f>
        <v>0</v>
      </c>
      <c r="AE72" s="18">
        <f>IF(DataTable[[#This Row],[explanation1]]="WP",1,IF(DataTable[[#This Row],[explanation2]]="WP",1,0))</f>
        <v>0</v>
      </c>
      <c r="AF72" s="18">
        <f>IF(DataTable[[#This Row],[explanation1]]="BR",1,IF(DataTable[[#This Row],[explanation2]]="BR",1,0))</f>
        <v>0</v>
      </c>
      <c r="AG72" s="18">
        <f>IF(DataTable[[#This Row],[explanation1]]="LS",1,IF(DataTable[[#This Row],[explanation2]]="LS",1,0))</f>
        <v>1</v>
      </c>
      <c r="AH72" s="29" t="s">
        <v>156</v>
      </c>
    </row>
    <row r="73" spans="1:34" x14ac:dyDescent="0.2">
      <c r="A73" s="13">
        <v>71</v>
      </c>
      <c r="B73" s="14" t="s">
        <v>57</v>
      </c>
      <c r="C73" s="15" t="s">
        <v>45</v>
      </c>
      <c r="D73" s="16">
        <v>50</v>
      </c>
      <c r="E73" s="14" t="s">
        <v>58</v>
      </c>
      <c r="F73" s="16">
        <v>32</v>
      </c>
      <c r="G73" s="14" t="s">
        <v>47</v>
      </c>
      <c r="H73" s="15" t="s">
        <v>48</v>
      </c>
      <c r="I73" s="16" t="str">
        <f t="shared" si="1"/>
        <v>R</v>
      </c>
      <c r="J73" s="14" t="s">
        <v>78</v>
      </c>
      <c r="K73" s="16" t="s">
        <v>50</v>
      </c>
      <c r="L73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73" s="15">
        <f>IF(DataTable[[#This Row],[3x head (H)/tail (T)?]]=DataTable[[#This Row],[then 4th: H/T/B/0]],1,0)</f>
        <v>0</v>
      </c>
      <c r="N73" s="15">
        <f>IF(DataTable[[#This Row],[then 4th: H/T/B/0]]="B",1,0)</f>
        <v>1</v>
      </c>
      <c r="O73" s="14" t="s">
        <v>145</v>
      </c>
      <c r="P73" s="15">
        <v>14</v>
      </c>
      <c r="Q73" s="17" t="s">
        <v>118</v>
      </c>
      <c r="R73" s="16" t="s">
        <v>53</v>
      </c>
      <c r="S73" s="18" t="s">
        <v>75</v>
      </c>
      <c r="T73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73" s="19" t="s">
        <v>76</v>
      </c>
      <c r="V73" s="20" t="s">
        <v>11</v>
      </c>
      <c r="W73" s="20" t="s">
        <v>12</v>
      </c>
      <c r="X73" s="18"/>
      <c r="Y73" s="18">
        <f>IF(DataTable[[#This Row],[explanation1]]="BL",1,IF(DataTable[[#This Row],[explanation2]]="BL",1,IF(DataTable[[#This Row],[explanation1]]="BR",1,IF(DataTable[[#This Row],[explanation2]]="BR",1,0))))</f>
        <v>1</v>
      </c>
      <c r="Z73" s="18">
        <f>IF(DataTable[[#This Row],[explanation1]]="BL",1,IF(DataTable[[#This Row],[explanation2]]="BL",1,0))</f>
        <v>0</v>
      </c>
      <c r="AA73" s="18">
        <f>IF(DataTable[[#This Row],[explanation1]]="WJ",1,IF(DataTable[[#This Row],[explanation2]]="WJ",1,0))</f>
        <v>0</v>
      </c>
      <c r="AB73" s="18">
        <f>IF(DataTable[[#This Row],[explanation1]]="U",1,IF(DataTable[[#This Row],[explanation2]]="U",1,0))</f>
        <v>0</v>
      </c>
      <c r="AC73" s="18">
        <f>IF(DataTable[[#This Row],[explanation1]]="O",1,IF(DataTable[[#This Row],[explanation2]]="O",1,0))</f>
        <v>0</v>
      </c>
      <c r="AD73" s="18">
        <f>IF(DataTable[[#This Row],[explanation1]]="TP",1,IF(DataTable[[#This Row],[explanation2]]="TP",1,0))</f>
        <v>0</v>
      </c>
      <c r="AE73" s="18">
        <f>IF(DataTable[[#This Row],[explanation1]]="WP",1,IF(DataTable[[#This Row],[explanation2]]="WP",1,0))</f>
        <v>1</v>
      </c>
      <c r="AF73" s="18">
        <f>IF(DataTable[[#This Row],[explanation1]]="BR",1,IF(DataTable[[#This Row],[explanation2]]="BR",1,0))</f>
        <v>1</v>
      </c>
      <c r="AG73" s="18">
        <f>IF(DataTable[[#This Row],[explanation1]]="LS",1,IF(DataTable[[#This Row],[explanation2]]="LS",1,0))</f>
        <v>0</v>
      </c>
      <c r="AH73" s="20" t="s">
        <v>157</v>
      </c>
    </row>
    <row r="74" spans="1:34" x14ac:dyDescent="0.2">
      <c r="A74" s="22">
        <v>72</v>
      </c>
      <c r="B74" s="23" t="s">
        <v>64</v>
      </c>
      <c r="C74" s="24" t="s">
        <v>45</v>
      </c>
      <c r="D74" s="25">
        <v>1</v>
      </c>
      <c r="E74" s="23" t="s">
        <v>58</v>
      </c>
      <c r="F74" s="25">
        <v>15</v>
      </c>
      <c r="G74" s="23" t="s">
        <v>47</v>
      </c>
      <c r="H74" s="24" t="s">
        <v>48</v>
      </c>
      <c r="I74" s="25" t="str">
        <f t="shared" si="1"/>
        <v>R</v>
      </c>
      <c r="J74" s="23" t="s">
        <v>78</v>
      </c>
      <c r="K74" s="25" t="s">
        <v>49</v>
      </c>
      <c r="L74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74" s="24">
        <f>IF(DataTable[[#This Row],[3x head (H)/tail (T)?]]=DataTable[[#This Row],[then 4th: H/T/B/0]],1,0)</f>
        <v>0</v>
      </c>
      <c r="N74" s="24">
        <f>IF(DataTable[[#This Row],[then 4th: H/T/B/0]]="B",1,0)</f>
        <v>0</v>
      </c>
      <c r="O74" s="23" t="s">
        <v>145</v>
      </c>
      <c r="P74" s="24">
        <v>14</v>
      </c>
      <c r="Q74" s="26" t="s">
        <v>118</v>
      </c>
      <c r="R74" s="25" t="s">
        <v>53</v>
      </c>
      <c r="S74" s="27" t="s">
        <v>75</v>
      </c>
      <c r="T74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74" s="28" t="s">
        <v>76</v>
      </c>
      <c r="V74" s="29" t="s">
        <v>8</v>
      </c>
      <c r="W74" s="29"/>
      <c r="X74" s="27" t="s">
        <v>158</v>
      </c>
      <c r="Y74" s="27">
        <f>IF(DataTable[[#This Row],[explanation1]]="BL",1,IF(DataTable[[#This Row],[explanation2]]="BL",1,IF(DataTable[[#This Row],[explanation1]]="BR",1,IF(DataTable[[#This Row],[explanation2]]="BR",1,0))))</f>
        <v>0</v>
      </c>
      <c r="Z74" s="18">
        <f>IF(DataTable[[#This Row],[explanation1]]="BL",1,IF(DataTable[[#This Row],[explanation2]]="BL",1,0))</f>
        <v>0</v>
      </c>
      <c r="AA74" s="18">
        <f>IF(DataTable[[#This Row],[explanation1]]="WJ",1,IF(DataTable[[#This Row],[explanation2]]="WJ",1,0))</f>
        <v>0</v>
      </c>
      <c r="AB74" s="18">
        <f>IF(DataTable[[#This Row],[explanation1]]="U",1,IF(DataTable[[#This Row],[explanation2]]="U",1,0))</f>
        <v>1</v>
      </c>
      <c r="AC74" s="18">
        <f>IF(DataTable[[#This Row],[explanation1]]="O",1,IF(DataTable[[#This Row],[explanation2]]="O",1,0))</f>
        <v>0</v>
      </c>
      <c r="AD74" s="18">
        <f>IF(DataTable[[#This Row],[explanation1]]="TP",1,IF(DataTable[[#This Row],[explanation2]]="TP",1,0))</f>
        <v>0</v>
      </c>
      <c r="AE74" s="18">
        <f>IF(DataTable[[#This Row],[explanation1]]="WP",1,IF(DataTable[[#This Row],[explanation2]]="WP",1,0))</f>
        <v>0</v>
      </c>
      <c r="AF74" s="18">
        <f>IF(DataTable[[#This Row],[explanation1]]="BR",1,IF(DataTable[[#This Row],[explanation2]]="BR",1,0))</f>
        <v>0</v>
      </c>
      <c r="AG74" s="18">
        <f>IF(DataTable[[#This Row],[explanation1]]="LS",1,IF(DataTable[[#This Row],[explanation2]]="LS",1,0))</f>
        <v>0</v>
      </c>
      <c r="AH74" s="29" t="s">
        <v>159</v>
      </c>
    </row>
    <row r="75" spans="1:34" x14ac:dyDescent="0.2">
      <c r="A75" s="13">
        <v>73</v>
      </c>
      <c r="B75" s="14" t="s">
        <v>64</v>
      </c>
      <c r="C75" s="15" t="s">
        <v>45</v>
      </c>
      <c r="D75" s="16">
        <v>1</v>
      </c>
      <c r="E75" s="14" t="s">
        <v>58</v>
      </c>
      <c r="F75" s="16">
        <v>40</v>
      </c>
      <c r="G75" s="14" t="s">
        <v>64</v>
      </c>
      <c r="H75" s="15" t="s">
        <v>48</v>
      </c>
      <c r="I75" s="16" t="str">
        <f t="shared" si="1"/>
        <v>M1</v>
      </c>
      <c r="J75" s="14" t="s">
        <v>78</v>
      </c>
      <c r="K75" s="16" t="s">
        <v>78</v>
      </c>
      <c r="L75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75" s="15">
        <f>IF(DataTable[[#This Row],[3x head (H)/tail (T)?]]=DataTable[[#This Row],[then 4th: H/T/B/0]],1,0)</f>
        <v>1</v>
      </c>
      <c r="N75" s="15">
        <f>IF(DataTable[[#This Row],[then 4th: H/T/B/0]]="B",1,0)</f>
        <v>0</v>
      </c>
      <c r="O75" s="14" t="s">
        <v>145</v>
      </c>
      <c r="P75" s="15">
        <v>14</v>
      </c>
      <c r="Q75" s="17" t="s">
        <v>118</v>
      </c>
      <c r="R75" s="16" t="s">
        <v>53</v>
      </c>
      <c r="S75" s="18" t="s">
        <v>61</v>
      </c>
      <c r="T75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4</v>
      </c>
      <c r="U75" s="19" t="s">
        <v>160</v>
      </c>
      <c r="V75" s="20" t="s">
        <v>8</v>
      </c>
      <c r="W75" s="20"/>
      <c r="X75" s="18"/>
      <c r="Y75" s="18">
        <f>IF(DataTable[[#This Row],[explanation1]]="BL",1,IF(DataTable[[#This Row],[explanation2]]="BL",1,IF(DataTable[[#This Row],[explanation1]]="BR",1,IF(DataTable[[#This Row],[explanation2]]="BR",1,0))))</f>
        <v>0</v>
      </c>
      <c r="Z75" s="18">
        <f>IF(DataTable[[#This Row],[explanation1]]="BL",1,IF(DataTable[[#This Row],[explanation2]]="BL",1,0))</f>
        <v>0</v>
      </c>
      <c r="AA75" s="18">
        <f>IF(DataTable[[#This Row],[explanation1]]="WJ",1,IF(DataTable[[#This Row],[explanation2]]="WJ",1,0))</f>
        <v>0</v>
      </c>
      <c r="AB75" s="18">
        <f>IF(DataTable[[#This Row],[explanation1]]="U",1,IF(DataTable[[#This Row],[explanation2]]="U",1,0))</f>
        <v>1</v>
      </c>
      <c r="AC75" s="18">
        <f>IF(DataTable[[#This Row],[explanation1]]="O",1,IF(DataTable[[#This Row],[explanation2]]="O",1,0))</f>
        <v>0</v>
      </c>
      <c r="AD75" s="18">
        <f>IF(DataTable[[#This Row],[explanation1]]="TP",1,IF(DataTable[[#This Row],[explanation2]]="TP",1,0))</f>
        <v>0</v>
      </c>
      <c r="AE75" s="18">
        <f>IF(DataTable[[#This Row],[explanation1]]="WP",1,IF(DataTable[[#This Row],[explanation2]]="WP",1,0))</f>
        <v>0</v>
      </c>
      <c r="AF75" s="18">
        <f>IF(DataTable[[#This Row],[explanation1]]="BR",1,IF(DataTable[[#This Row],[explanation2]]="BR",1,0))</f>
        <v>0</v>
      </c>
      <c r="AG75" s="18">
        <f>IF(DataTable[[#This Row],[explanation1]]="LS",1,IF(DataTable[[#This Row],[explanation2]]="LS",1,0))</f>
        <v>0</v>
      </c>
      <c r="AH75" s="20" t="s">
        <v>161</v>
      </c>
    </row>
    <row r="76" spans="1:34" x14ac:dyDescent="0.2">
      <c r="A76" s="22">
        <v>74</v>
      </c>
      <c r="B76" s="23" t="s">
        <v>64</v>
      </c>
      <c r="C76" s="24" t="s">
        <v>45</v>
      </c>
      <c r="D76" s="25">
        <v>1</v>
      </c>
      <c r="E76" s="23" t="s">
        <v>46</v>
      </c>
      <c r="F76" s="25">
        <v>37</v>
      </c>
      <c r="G76" s="23" t="s">
        <v>64</v>
      </c>
      <c r="H76" s="24" t="s">
        <v>81</v>
      </c>
      <c r="I76" s="25" t="str">
        <f t="shared" si="1"/>
        <v>R</v>
      </c>
      <c r="J76" s="23" t="s">
        <v>78</v>
      </c>
      <c r="K76" s="25" t="s">
        <v>49</v>
      </c>
      <c r="L76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76" s="24">
        <f>IF(DataTable[[#This Row],[3x head (H)/tail (T)?]]=DataTable[[#This Row],[then 4th: H/T/B/0]],1,0)</f>
        <v>0</v>
      </c>
      <c r="N76" s="24">
        <f>IF(DataTable[[#This Row],[then 4th: H/T/B/0]]="B",1,0)</f>
        <v>0</v>
      </c>
      <c r="O76" s="23" t="s">
        <v>145</v>
      </c>
      <c r="P76" s="24">
        <v>14</v>
      </c>
      <c r="Q76" s="26" t="s">
        <v>118</v>
      </c>
      <c r="R76" s="25" t="s">
        <v>53</v>
      </c>
      <c r="S76" s="27" t="s">
        <v>75</v>
      </c>
      <c r="T76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76" s="28" t="s">
        <v>76</v>
      </c>
      <c r="V76" s="29" t="s">
        <v>13</v>
      </c>
      <c r="W76" s="29"/>
      <c r="X76" s="27"/>
      <c r="Y76" s="27">
        <f>IF(DataTable[[#This Row],[explanation1]]="BL",1,IF(DataTable[[#This Row],[explanation2]]="BL",1,IF(DataTable[[#This Row],[explanation1]]="BR",1,IF(DataTable[[#This Row],[explanation2]]="BR",1,0))))</f>
        <v>0</v>
      </c>
      <c r="Z76" s="18">
        <f>IF(DataTable[[#This Row],[explanation1]]="BL",1,IF(DataTable[[#This Row],[explanation2]]="BL",1,0))</f>
        <v>0</v>
      </c>
      <c r="AA76" s="18">
        <f>IF(DataTable[[#This Row],[explanation1]]="WJ",1,IF(DataTable[[#This Row],[explanation2]]="WJ",1,0))</f>
        <v>0</v>
      </c>
      <c r="AB76" s="18">
        <f>IF(DataTable[[#This Row],[explanation1]]="U",1,IF(DataTable[[#This Row],[explanation2]]="U",1,0))</f>
        <v>0</v>
      </c>
      <c r="AC76" s="18">
        <f>IF(DataTable[[#This Row],[explanation1]]="O",1,IF(DataTable[[#This Row],[explanation2]]="O",1,0))</f>
        <v>0</v>
      </c>
      <c r="AD76" s="18">
        <f>IF(DataTable[[#This Row],[explanation1]]="TP",1,IF(DataTable[[#This Row],[explanation2]]="TP",1,0))</f>
        <v>0</v>
      </c>
      <c r="AE76" s="18">
        <f>IF(DataTable[[#This Row],[explanation1]]="WP",1,IF(DataTable[[#This Row],[explanation2]]="WP",1,0))</f>
        <v>0</v>
      </c>
      <c r="AF76" s="18">
        <f>IF(DataTable[[#This Row],[explanation1]]="BR",1,IF(DataTable[[#This Row],[explanation2]]="BR",1,0))</f>
        <v>0</v>
      </c>
      <c r="AG76" s="18">
        <f>IF(DataTable[[#This Row],[explanation1]]="LS",1,IF(DataTable[[#This Row],[explanation2]]="LS",1,0))</f>
        <v>1</v>
      </c>
      <c r="AH76" s="29" t="s">
        <v>162</v>
      </c>
    </row>
    <row r="77" spans="1:34" x14ac:dyDescent="0.2">
      <c r="A77" s="13">
        <v>75</v>
      </c>
      <c r="B77" s="14" t="s">
        <v>64</v>
      </c>
      <c r="C77" s="15" t="s">
        <v>45</v>
      </c>
      <c r="D77" s="16">
        <v>1</v>
      </c>
      <c r="E77" s="14" t="s">
        <v>58</v>
      </c>
      <c r="F77" s="16">
        <v>36</v>
      </c>
      <c r="G77" s="14" t="s">
        <v>64</v>
      </c>
      <c r="H77" s="15" t="s">
        <v>48</v>
      </c>
      <c r="I77" s="16" t="str">
        <f t="shared" si="1"/>
        <v>M1</v>
      </c>
      <c r="J77" s="14" t="s">
        <v>78</v>
      </c>
      <c r="K77" s="16" t="s">
        <v>78</v>
      </c>
      <c r="L77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77" s="15">
        <f>IF(DataTable[[#This Row],[3x head (H)/tail (T)?]]=DataTable[[#This Row],[then 4th: H/T/B/0]],1,0)</f>
        <v>1</v>
      </c>
      <c r="N77" s="15">
        <f>IF(DataTable[[#This Row],[then 4th: H/T/B/0]]="B",1,0)</f>
        <v>0</v>
      </c>
      <c r="O77" s="14" t="s">
        <v>145</v>
      </c>
      <c r="P77" s="15">
        <v>14</v>
      </c>
      <c r="Q77" s="17" t="s">
        <v>118</v>
      </c>
      <c r="R77" s="16" t="s">
        <v>53</v>
      </c>
      <c r="S77" s="18" t="s">
        <v>75</v>
      </c>
      <c r="T77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77" s="19" t="s">
        <v>76</v>
      </c>
      <c r="V77" s="20" t="s">
        <v>13</v>
      </c>
      <c r="W77" s="20"/>
      <c r="X77" s="18"/>
      <c r="Y77" s="18">
        <f>IF(DataTable[[#This Row],[explanation1]]="BL",1,IF(DataTable[[#This Row],[explanation2]]="BL",1,IF(DataTable[[#This Row],[explanation1]]="BR",1,IF(DataTable[[#This Row],[explanation2]]="BR",1,0))))</f>
        <v>0</v>
      </c>
      <c r="Z77" s="18">
        <f>IF(DataTable[[#This Row],[explanation1]]="BL",1,IF(DataTable[[#This Row],[explanation2]]="BL",1,0))</f>
        <v>0</v>
      </c>
      <c r="AA77" s="18">
        <f>IF(DataTable[[#This Row],[explanation1]]="WJ",1,IF(DataTable[[#This Row],[explanation2]]="WJ",1,0))</f>
        <v>0</v>
      </c>
      <c r="AB77" s="18">
        <f>IF(DataTable[[#This Row],[explanation1]]="U",1,IF(DataTable[[#This Row],[explanation2]]="U",1,0))</f>
        <v>0</v>
      </c>
      <c r="AC77" s="18">
        <f>IF(DataTable[[#This Row],[explanation1]]="O",1,IF(DataTable[[#This Row],[explanation2]]="O",1,0))</f>
        <v>0</v>
      </c>
      <c r="AD77" s="18">
        <f>IF(DataTable[[#This Row],[explanation1]]="TP",1,IF(DataTable[[#This Row],[explanation2]]="TP",1,0))</f>
        <v>0</v>
      </c>
      <c r="AE77" s="18">
        <f>IF(DataTable[[#This Row],[explanation1]]="WP",1,IF(DataTable[[#This Row],[explanation2]]="WP",1,0))</f>
        <v>0</v>
      </c>
      <c r="AF77" s="18">
        <f>IF(DataTable[[#This Row],[explanation1]]="BR",1,IF(DataTable[[#This Row],[explanation2]]="BR",1,0))</f>
        <v>0</v>
      </c>
      <c r="AG77" s="18">
        <f>IF(DataTable[[#This Row],[explanation1]]="LS",1,IF(DataTable[[#This Row],[explanation2]]="LS",1,0))</f>
        <v>1</v>
      </c>
      <c r="AH77" s="20" t="s">
        <v>163</v>
      </c>
    </row>
    <row r="78" spans="1:34" x14ac:dyDescent="0.2">
      <c r="A78" s="22">
        <v>76</v>
      </c>
      <c r="B78" s="23" t="s">
        <v>60</v>
      </c>
      <c r="C78" s="24" t="s">
        <v>74</v>
      </c>
      <c r="D78" s="25">
        <v>50</v>
      </c>
      <c r="E78" s="23" t="s">
        <v>58</v>
      </c>
      <c r="F78" s="25">
        <v>51</v>
      </c>
      <c r="G78" s="23" t="s">
        <v>47</v>
      </c>
      <c r="H78" s="24" t="s">
        <v>48</v>
      </c>
      <c r="I78" s="25" t="str">
        <f t="shared" si="1"/>
        <v>R</v>
      </c>
      <c r="J78" s="23" t="s">
        <v>78</v>
      </c>
      <c r="K78" s="25" t="s">
        <v>49</v>
      </c>
      <c r="L78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78" s="24">
        <f>IF(DataTable[[#This Row],[3x head (H)/tail (T)?]]=DataTable[[#This Row],[then 4th: H/T/B/0]],1,0)</f>
        <v>0</v>
      </c>
      <c r="N78" s="24">
        <f>IF(DataTable[[#This Row],[then 4th: H/T/B/0]]="B",1,0)</f>
        <v>0</v>
      </c>
      <c r="O78" s="23" t="s">
        <v>145</v>
      </c>
      <c r="P78" s="24">
        <v>14</v>
      </c>
      <c r="Q78" s="26" t="s">
        <v>118</v>
      </c>
      <c r="R78" s="25" t="s">
        <v>53</v>
      </c>
      <c r="S78" s="27" t="s">
        <v>75</v>
      </c>
      <c r="T78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78" s="28" t="s">
        <v>76</v>
      </c>
      <c r="V78" s="29" t="s">
        <v>7</v>
      </c>
      <c r="W78" s="29" t="s">
        <v>10</v>
      </c>
      <c r="X78" s="27"/>
      <c r="Y78" s="27">
        <f>IF(DataTable[[#This Row],[explanation1]]="BL",1,IF(DataTable[[#This Row],[explanation2]]="BL",1,IF(DataTable[[#This Row],[explanation1]]="BR",1,IF(DataTable[[#This Row],[explanation2]]="BR",1,0))))</f>
        <v>0</v>
      </c>
      <c r="Z78" s="18">
        <f>IF(DataTable[[#This Row],[explanation1]]="BL",1,IF(DataTable[[#This Row],[explanation2]]="BL",1,0))</f>
        <v>0</v>
      </c>
      <c r="AA78" s="18">
        <f>IF(DataTable[[#This Row],[explanation1]]="WJ",1,IF(DataTable[[#This Row],[explanation2]]="WJ",1,0))</f>
        <v>1</v>
      </c>
      <c r="AB78" s="18">
        <f>IF(DataTable[[#This Row],[explanation1]]="U",1,IF(DataTable[[#This Row],[explanation2]]="U",1,0))</f>
        <v>0</v>
      </c>
      <c r="AC78" s="18">
        <f>IF(DataTable[[#This Row],[explanation1]]="O",1,IF(DataTable[[#This Row],[explanation2]]="O",1,0))</f>
        <v>0</v>
      </c>
      <c r="AD78" s="18">
        <f>IF(DataTable[[#This Row],[explanation1]]="TP",1,IF(DataTable[[#This Row],[explanation2]]="TP",1,0))</f>
        <v>1</v>
      </c>
      <c r="AE78" s="18">
        <f>IF(DataTable[[#This Row],[explanation1]]="WP",1,IF(DataTable[[#This Row],[explanation2]]="WP",1,0))</f>
        <v>0</v>
      </c>
      <c r="AF78" s="18">
        <f>IF(DataTable[[#This Row],[explanation1]]="BR",1,IF(DataTable[[#This Row],[explanation2]]="BR",1,0))</f>
        <v>0</v>
      </c>
      <c r="AG78" s="18">
        <f>IF(DataTable[[#This Row],[explanation1]]="LS",1,IF(DataTable[[#This Row],[explanation2]]="LS",1,0))</f>
        <v>0</v>
      </c>
      <c r="AH78" s="29" t="s">
        <v>164</v>
      </c>
    </row>
    <row r="79" spans="1:34" x14ac:dyDescent="0.2">
      <c r="A79" s="13">
        <v>77</v>
      </c>
      <c r="B79" s="14" t="s">
        <v>60</v>
      </c>
      <c r="C79" s="15" t="s">
        <v>74</v>
      </c>
      <c r="D79" s="16">
        <v>50</v>
      </c>
      <c r="E79" s="14" t="s">
        <v>58</v>
      </c>
      <c r="F79" s="16">
        <v>15</v>
      </c>
      <c r="G79" s="14" t="s">
        <v>60</v>
      </c>
      <c r="H79" s="15" t="s">
        <v>48</v>
      </c>
      <c r="I79" s="16" t="str">
        <f t="shared" si="1"/>
        <v>L5</v>
      </c>
      <c r="J79" s="14" t="s">
        <v>78</v>
      </c>
      <c r="K79" s="16" t="s">
        <v>49</v>
      </c>
      <c r="L79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79" s="15">
        <f>IF(DataTable[[#This Row],[3x head (H)/tail (T)?]]=DataTable[[#This Row],[then 4th: H/T/B/0]],1,0)</f>
        <v>0</v>
      </c>
      <c r="N79" s="15">
        <f>IF(DataTable[[#This Row],[then 4th: H/T/B/0]]="B",1,0)</f>
        <v>0</v>
      </c>
      <c r="O79" s="14" t="s">
        <v>145</v>
      </c>
      <c r="P79" s="15">
        <v>14</v>
      </c>
      <c r="Q79" s="17" t="s">
        <v>118</v>
      </c>
      <c r="R79" s="16" t="s">
        <v>53</v>
      </c>
      <c r="S79" s="18" t="s">
        <v>75</v>
      </c>
      <c r="T79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79" s="19" t="s">
        <v>76</v>
      </c>
      <c r="V79" s="20" t="s">
        <v>8</v>
      </c>
      <c r="W79" s="20"/>
      <c r="X79" s="20" t="s">
        <v>165</v>
      </c>
      <c r="Y79" s="20">
        <f>IF(DataTable[[#This Row],[explanation1]]="BL",1,IF(DataTable[[#This Row],[explanation2]]="BL",1,IF(DataTable[[#This Row],[explanation1]]="BR",1,IF(DataTable[[#This Row],[explanation2]]="BR",1,0))))</f>
        <v>0</v>
      </c>
      <c r="Z79" s="18">
        <f>IF(DataTable[[#This Row],[explanation1]]="BL",1,IF(DataTable[[#This Row],[explanation2]]="BL",1,0))</f>
        <v>0</v>
      </c>
      <c r="AA79" s="18">
        <f>IF(DataTable[[#This Row],[explanation1]]="WJ",1,IF(DataTable[[#This Row],[explanation2]]="WJ",1,0))</f>
        <v>0</v>
      </c>
      <c r="AB79" s="18">
        <f>IF(DataTable[[#This Row],[explanation1]]="U",1,IF(DataTable[[#This Row],[explanation2]]="U",1,0))</f>
        <v>1</v>
      </c>
      <c r="AC79" s="18">
        <f>IF(DataTable[[#This Row],[explanation1]]="O",1,IF(DataTable[[#This Row],[explanation2]]="O",1,0))</f>
        <v>0</v>
      </c>
      <c r="AD79" s="18">
        <f>IF(DataTable[[#This Row],[explanation1]]="TP",1,IF(DataTable[[#This Row],[explanation2]]="TP",1,0))</f>
        <v>0</v>
      </c>
      <c r="AE79" s="18">
        <f>IF(DataTable[[#This Row],[explanation1]]="WP",1,IF(DataTable[[#This Row],[explanation2]]="WP",1,0))</f>
        <v>0</v>
      </c>
      <c r="AF79" s="18">
        <f>IF(DataTable[[#This Row],[explanation1]]="BR",1,IF(DataTable[[#This Row],[explanation2]]="BR",1,0))</f>
        <v>0</v>
      </c>
      <c r="AG79" s="18">
        <f>IF(DataTable[[#This Row],[explanation1]]="LS",1,IF(DataTable[[#This Row],[explanation2]]="LS",1,0))</f>
        <v>0</v>
      </c>
      <c r="AH79" s="20" t="s">
        <v>165</v>
      </c>
    </row>
    <row r="80" spans="1:34" x14ac:dyDescent="0.2">
      <c r="A80" s="22">
        <v>78</v>
      </c>
      <c r="B80" s="23" t="s">
        <v>60</v>
      </c>
      <c r="C80" s="24" t="s">
        <v>74</v>
      </c>
      <c r="D80" s="25">
        <v>50</v>
      </c>
      <c r="E80" s="23" t="s">
        <v>46</v>
      </c>
      <c r="F80" s="25">
        <v>31</v>
      </c>
      <c r="G80" s="23" t="s">
        <v>47</v>
      </c>
      <c r="H80" s="24" t="s">
        <v>48</v>
      </c>
      <c r="I80" s="25" t="str">
        <f t="shared" si="1"/>
        <v>R</v>
      </c>
      <c r="J80" s="23" t="s">
        <v>49</v>
      </c>
      <c r="K80" s="25" t="s">
        <v>78</v>
      </c>
      <c r="L80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80" s="24">
        <f>IF(DataTable[[#This Row],[3x head (H)/tail (T)?]]=DataTable[[#This Row],[then 4th: H/T/B/0]],1,0)</f>
        <v>0</v>
      </c>
      <c r="N80" s="24">
        <f>IF(DataTable[[#This Row],[then 4th: H/T/B/0]]="B",1,0)</f>
        <v>0</v>
      </c>
      <c r="O80" s="23" t="s">
        <v>145</v>
      </c>
      <c r="P80" s="24">
        <v>14</v>
      </c>
      <c r="Q80" s="26" t="s">
        <v>118</v>
      </c>
      <c r="R80" s="25" t="s">
        <v>53</v>
      </c>
      <c r="S80" s="27" t="s">
        <v>65</v>
      </c>
      <c r="T80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80" s="28" t="s">
        <v>166</v>
      </c>
      <c r="V80" s="29" t="s">
        <v>11</v>
      </c>
      <c r="W80" s="29"/>
      <c r="X80" s="27"/>
      <c r="Y80" s="27">
        <f>IF(DataTable[[#This Row],[explanation1]]="BL",1,IF(DataTable[[#This Row],[explanation2]]="BL",1,IF(DataTable[[#This Row],[explanation1]]="BR",1,IF(DataTable[[#This Row],[explanation2]]="BR",1,0))))</f>
        <v>0</v>
      </c>
      <c r="Z80" s="18">
        <f>IF(DataTable[[#This Row],[explanation1]]="BL",1,IF(DataTable[[#This Row],[explanation2]]="BL",1,0))</f>
        <v>0</v>
      </c>
      <c r="AA80" s="18">
        <f>IF(DataTable[[#This Row],[explanation1]]="WJ",1,IF(DataTable[[#This Row],[explanation2]]="WJ",1,0))</f>
        <v>0</v>
      </c>
      <c r="AB80" s="18">
        <f>IF(DataTable[[#This Row],[explanation1]]="U",1,IF(DataTable[[#This Row],[explanation2]]="U",1,0))</f>
        <v>0</v>
      </c>
      <c r="AC80" s="18">
        <f>IF(DataTable[[#This Row],[explanation1]]="O",1,IF(DataTable[[#This Row],[explanation2]]="O",1,0))</f>
        <v>0</v>
      </c>
      <c r="AD80" s="18">
        <f>IF(DataTable[[#This Row],[explanation1]]="TP",1,IF(DataTable[[#This Row],[explanation2]]="TP",1,0))</f>
        <v>0</v>
      </c>
      <c r="AE80" s="18">
        <f>IF(DataTable[[#This Row],[explanation1]]="WP",1,IF(DataTable[[#This Row],[explanation2]]="WP",1,0))</f>
        <v>1</v>
      </c>
      <c r="AF80" s="18">
        <f>IF(DataTable[[#This Row],[explanation1]]="BR",1,IF(DataTable[[#This Row],[explanation2]]="BR",1,0))</f>
        <v>0</v>
      </c>
      <c r="AG80" s="18">
        <f>IF(DataTable[[#This Row],[explanation1]]="LS",1,IF(DataTable[[#This Row],[explanation2]]="LS",1,0))</f>
        <v>0</v>
      </c>
      <c r="AH80" s="29" t="s">
        <v>167</v>
      </c>
    </row>
    <row r="81" spans="1:34" x14ac:dyDescent="0.2">
      <c r="A81" s="13">
        <v>79</v>
      </c>
      <c r="B81" s="14" t="s">
        <v>68</v>
      </c>
      <c r="C81" s="15" t="s">
        <v>45</v>
      </c>
      <c r="D81" s="16">
        <v>1</v>
      </c>
      <c r="E81" s="14" t="s">
        <v>58</v>
      </c>
      <c r="F81" s="16">
        <v>34</v>
      </c>
      <c r="G81" s="14" t="s">
        <v>47</v>
      </c>
      <c r="H81" s="15" t="s">
        <v>48</v>
      </c>
      <c r="I81" s="16" t="str">
        <f t="shared" si="1"/>
        <v>R</v>
      </c>
      <c r="J81" s="14" t="s">
        <v>49</v>
      </c>
      <c r="K81" s="16" t="s">
        <v>49</v>
      </c>
      <c r="L81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81" s="15">
        <f>IF(DataTable[[#This Row],[3x head (H)/tail (T)?]]=DataTable[[#This Row],[then 4th: H/T/B/0]],1,0)</f>
        <v>1</v>
      </c>
      <c r="N81" s="15">
        <f>IF(DataTable[[#This Row],[then 4th: H/T/B/0]]="B",1,0)</f>
        <v>0</v>
      </c>
      <c r="O81" s="14" t="s">
        <v>145</v>
      </c>
      <c r="P81" s="15">
        <v>14</v>
      </c>
      <c r="Q81" s="17" t="s">
        <v>118</v>
      </c>
      <c r="R81" s="16" t="s">
        <v>53</v>
      </c>
      <c r="S81" s="18" t="s">
        <v>75</v>
      </c>
      <c r="T81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81" s="19" t="s">
        <v>76</v>
      </c>
      <c r="V81" s="20" t="s">
        <v>13</v>
      </c>
      <c r="W81" s="20"/>
      <c r="X81" s="18"/>
      <c r="Y81" s="18">
        <f>IF(DataTable[[#This Row],[explanation1]]="BL",1,IF(DataTable[[#This Row],[explanation2]]="BL",1,IF(DataTable[[#This Row],[explanation1]]="BR",1,IF(DataTable[[#This Row],[explanation2]]="BR",1,0))))</f>
        <v>0</v>
      </c>
      <c r="Z81" s="18">
        <f>IF(DataTable[[#This Row],[explanation1]]="BL",1,IF(DataTable[[#This Row],[explanation2]]="BL",1,0))</f>
        <v>0</v>
      </c>
      <c r="AA81" s="18">
        <f>IF(DataTable[[#This Row],[explanation1]]="WJ",1,IF(DataTable[[#This Row],[explanation2]]="WJ",1,0))</f>
        <v>0</v>
      </c>
      <c r="AB81" s="18">
        <f>IF(DataTable[[#This Row],[explanation1]]="U",1,IF(DataTable[[#This Row],[explanation2]]="U",1,0))</f>
        <v>0</v>
      </c>
      <c r="AC81" s="18">
        <f>IF(DataTable[[#This Row],[explanation1]]="O",1,IF(DataTable[[#This Row],[explanation2]]="O",1,0))</f>
        <v>0</v>
      </c>
      <c r="AD81" s="18">
        <f>IF(DataTable[[#This Row],[explanation1]]="TP",1,IF(DataTable[[#This Row],[explanation2]]="TP",1,0))</f>
        <v>0</v>
      </c>
      <c r="AE81" s="18">
        <f>IF(DataTable[[#This Row],[explanation1]]="WP",1,IF(DataTable[[#This Row],[explanation2]]="WP",1,0))</f>
        <v>0</v>
      </c>
      <c r="AF81" s="18">
        <f>IF(DataTable[[#This Row],[explanation1]]="BR",1,IF(DataTable[[#This Row],[explanation2]]="BR",1,0))</f>
        <v>0</v>
      </c>
      <c r="AG81" s="18">
        <f>IF(DataTable[[#This Row],[explanation1]]="LS",1,IF(DataTable[[#This Row],[explanation2]]="LS",1,0))</f>
        <v>1</v>
      </c>
      <c r="AH81" s="20" t="s">
        <v>168</v>
      </c>
    </row>
    <row r="82" spans="1:34" x14ac:dyDescent="0.2">
      <c r="A82" s="22">
        <v>80</v>
      </c>
      <c r="B82" s="23" t="s">
        <v>68</v>
      </c>
      <c r="C82" s="24" t="s">
        <v>45</v>
      </c>
      <c r="D82" s="25">
        <v>1</v>
      </c>
      <c r="E82" s="23" t="s">
        <v>58</v>
      </c>
      <c r="F82" s="25">
        <v>21</v>
      </c>
      <c r="G82" s="23" t="s">
        <v>47</v>
      </c>
      <c r="H82" s="24" t="s">
        <v>48</v>
      </c>
      <c r="I82" s="25" t="str">
        <f t="shared" si="1"/>
        <v>R</v>
      </c>
      <c r="J82" s="23" t="s">
        <v>49</v>
      </c>
      <c r="K82" s="25" t="s">
        <v>50</v>
      </c>
      <c r="L82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82" s="24">
        <f>IF(DataTable[[#This Row],[3x head (H)/tail (T)?]]=DataTable[[#This Row],[then 4th: H/T/B/0]],1,0)</f>
        <v>0</v>
      </c>
      <c r="N82" s="24">
        <f>IF(DataTable[[#This Row],[then 4th: H/T/B/0]]="B",1,0)</f>
        <v>1</v>
      </c>
      <c r="O82" s="23" t="s">
        <v>145</v>
      </c>
      <c r="P82" s="24">
        <v>14</v>
      </c>
      <c r="Q82" s="26" t="s">
        <v>118</v>
      </c>
      <c r="R82" s="25" t="s">
        <v>53</v>
      </c>
      <c r="S82" s="27" t="s">
        <v>65</v>
      </c>
      <c r="T82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82" s="28" t="s">
        <v>95</v>
      </c>
      <c r="V82" s="29" t="s">
        <v>8</v>
      </c>
      <c r="W82" s="29"/>
      <c r="X82" s="27" t="s">
        <v>169</v>
      </c>
      <c r="Y82" s="27">
        <f>IF(DataTable[[#This Row],[explanation1]]="BL",1,IF(DataTable[[#This Row],[explanation2]]="BL",1,IF(DataTable[[#This Row],[explanation1]]="BR",1,IF(DataTable[[#This Row],[explanation2]]="BR",1,0))))</f>
        <v>0</v>
      </c>
      <c r="Z82" s="18">
        <f>IF(DataTable[[#This Row],[explanation1]]="BL",1,IF(DataTable[[#This Row],[explanation2]]="BL",1,0))</f>
        <v>0</v>
      </c>
      <c r="AA82" s="18">
        <f>IF(DataTable[[#This Row],[explanation1]]="WJ",1,IF(DataTable[[#This Row],[explanation2]]="WJ",1,0))</f>
        <v>0</v>
      </c>
      <c r="AB82" s="18">
        <f>IF(DataTable[[#This Row],[explanation1]]="U",1,IF(DataTable[[#This Row],[explanation2]]="U",1,0))</f>
        <v>1</v>
      </c>
      <c r="AC82" s="18">
        <f>IF(DataTable[[#This Row],[explanation1]]="O",1,IF(DataTable[[#This Row],[explanation2]]="O",1,0))</f>
        <v>0</v>
      </c>
      <c r="AD82" s="18">
        <f>IF(DataTable[[#This Row],[explanation1]]="TP",1,IF(DataTable[[#This Row],[explanation2]]="TP",1,0))</f>
        <v>0</v>
      </c>
      <c r="AE82" s="18">
        <f>IF(DataTable[[#This Row],[explanation1]]="WP",1,IF(DataTable[[#This Row],[explanation2]]="WP",1,0))</f>
        <v>0</v>
      </c>
      <c r="AF82" s="18">
        <f>IF(DataTable[[#This Row],[explanation1]]="BR",1,IF(DataTable[[#This Row],[explanation2]]="BR",1,0))</f>
        <v>0</v>
      </c>
      <c r="AG82" s="18">
        <f>IF(DataTable[[#This Row],[explanation1]]="LS",1,IF(DataTable[[#This Row],[explanation2]]="LS",1,0))</f>
        <v>0</v>
      </c>
      <c r="AH82" s="29" t="s">
        <v>170</v>
      </c>
    </row>
    <row r="83" spans="1:34" x14ac:dyDescent="0.2">
      <c r="A83" s="13">
        <v>81</v>
      </c>
      <c r="B83" s="14" t="s">
        <v>68</v>
      </c>
      <c r="C83" s="15" t="s">
        <v>45</v>
      </c>
      <c r="D83" s="16">
        <v>1</v>
      </c>
      <c r="E83" s="14" t="s">
        <v>58</v>
      </c>
      <c r="F83" s="16">
        <v>70</v>
      </c>
      <c r="G83" s="14" t="s">
        <v>47</v>
      </c>
      <c r="H83" s="15" t="s">
        <v>48</v>
      </c>
      <c r="I83" s="16" t="str">
        <f t="shared" si="1"/>
        <v>R</v>
      </c>
      <c r="J83" s="14" t="s">
        <v>49</v>
      </c>
      <c r="K83" s="16" t="s">
        <v>78</v>
      </c>
      <c r="L83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83" s="15">
        <f>IF(DataTable[[#This Row],[3x head (H)/tail (T)?]]=DataTable[[#This Row],[then 4th: H/T/B/0]],1,0)</f>
        <v>0</v>
      </c>
      <c r="N83" s="15">
        <f>IF(DataTable[[#This Row],[then 4th: H/T/B/0]]="B",1,0)</f>
        <v>0</v>
      </c>
      <c r="O83" s="14" t="s">
        <v>145</v>
      </c>
      <c r="P83" s="15">
        <v>14</v>
      </c>
      <c r="Q83" s="17" t="s">
        <v>118</v>
      </c>
      <c r="R83" s="16" t="s">
        <v>53</v>
      </c>
      <c r="S83" s="18" t="s">
        <v>75</v>
      </c>
      <c r="T83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83" s="19" t="s">
        <v>76</v>
      </c>
      <c r="V83" s="20" t="s">
        <v>13</v>
      </c>
      <c r="W83" s="20"/>
      <c r="X83" s="18"/>
      <c r="Y83" s="18">
        <f>IF(DataTable[[#This Row],[explanation1]]="BL",1,IF(DataTable[[#This Row],[explanation2]]="BL",1,IF(DataTable[[#This Row],[explanation1]]="BR",1,IF(DataTable[[#This Row],[explanation2]]="BR",1,0))))</f>
        <v>0</v>
      </c>
      <c r="Z83" s="18">
        <f>IF(DataTable[[#This Row],[explanation1]]="BL",1,IF(DataTable[[#This Row],[explanation2]]="BL",1,0))</f>
        <v>0</v>
      </c>
      <c r="AA83" s="18">
        <f>IF(DataTable[[#This Row],[explanation1]]="WJ",1,IF(DataTable[[#This Row],[explanation2]]="WJ",1,0))</f>
        <v>0</v>
      </c>
      <c r="AB83" s="18">
        <f>IF(DataTable[[#This Row],[explanation1]]="U",1,IF(DataTable[[#This Row],[explanation2]]="U",1,0))</f>
        <v>0</v>
      </c>
      <c r="AC83" s="18">
        <f>IF(DataTable[[#This Row],[explanation1]]="O",1,IF(DataTable[[#This Row],[explanation2]]="O",1,0))</f>
        <v>0</v>
      </c>
      <c r="AD83" s="18">
        <f>IF(DataTable[[#This Row],[explanation1]]="TP",1,IF(DataTable[[#This Row],[explanation2]]="TP",1,0))</f>
        <v>0</v>
      </c>
      <c r="AE83" s="18">
        <f>IF(DataTable[[#This Row],[explanation1]]="WP",1,IF(DataTable[[#This Row],[explanation2]]="WP",1,0))</f>
        <v>0</v>
      </c>
      <c r="AF83" s="18">
        <f>IF(DataTable[[#This Row],[explanation1]]="BR",1,IF(DataTable[[#This Row],[explanation2]]="BR",1,0))</f>
        <v>0</v>
      </c>
      <c r="AG83" s="18">
        <f>IF(DataTable[[#This Row],[explanation1]]="LS",1,IF(DataTable[[#This Row],[explanation2]]="LS",1,0))</f>
        <v>1</v>
      </c>
      <c r="AH83" s="20" t="s">
        <v>13</v>
      </c>
    </row>
    <row r="84" spans="1:34" x14ac:dyDescent="0.2">
      <c r="A84" s="22">
        <v>82</v>
      </c>
      <c r="B84" s="23" t="s">
        <v>68</v>
      </c>
      <c r="C84" s="24" t="s">
        <v>45</v>
      </c>
      <c r="D84" s="25">
        <v>1</v>
      </c>
      <c r="E84" s="23" t="s">
        <v>58</v>
      </c>
      <c r="F84" s="25">
        <v>47</v>
      </c>
      <c r="G84" s="23" t="s">
        <v>47</v>
      </c>
      <c r="H84" s="24" t="s">
        <v>48</v>
      </c>
      <c r="I84" s="25" t="str">
        <f t="shared" si="1"/>
        <v>R</v>
      </c>
      <c r="J84" s="23" t="s">
        <v>78</v>
      </c>
      <c r="K84" s="25">
        <v>0</v>
      </c>
      <c r="L84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84" s="24">
        <f>IF(DataTable[[#This Row],[3x head (H)/tail (T)?]]=DataTable[[#This Row],[then 4th: H/T/B/0]],1,0)</f>
        <v>0</v>
      </c>
      <c r="N84" s="24">
        <f>IF(DataTable[[#This Row],[then 4th: H/T/B/0]]="B",1,0)</f>
        <v>0</v>
      </c>
      <c r="O84" s="23" t="s">
        <v>145</v>
      </c>
      <c r="P84" s="24">
        <v>14</v>
      </c>
      <c r="Q84" s="26" t="s">
        <v>118</v>
      </c>
      <c r="R84" s="25" t="s">
        <v>53</v>
      </c>
      <c r="S84" s="27" t="s">
        <v>75</v>
      </c>
      <c r="T84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84" s="28" t="s">
        <v>76</v>
      </c>
      <c r="V84" s="29" t="s">
        <v>9</v>
      </c>
      <c r="W84" s="29"/>
      <c r="X84" s="27"/>
      <c r="Y84" s="27">
        <f>IF(DataTable[[#This Row],[explanation1]]="BL",1,IF(DataTable[[#This Row],[explanation2]]="BL",1,IF(DataTable[[#This Row],[explanation1]]="BR",1,IF(DataTable[[#This Row],[explanation2]]="BR",1,0))))</f>
        <v>0</v>
      </c>
      <c r="Z84" s="18">
        <f>IF(DataTable[[#This Row],[explanation1]]="BL",1,IF(DataTable[[#This Row],[explanation2]]="BL",1,0))</f>
        <v>0</v>
      </c>
      <c r="AA84" s="18">
        <f>IF(DataTable[[#This Row],[explanation1]]="WJ",1,IF(DataTable[[#This Row],[explanation2]]="WJ",1,0))</f>
        <v>0</v>
      </c>
      <c r="AB84" s="18">
        <f>IF(DataTable[[#This Row],[explanation1]]="U",1,IF(DataTable[[#This Row],[explanation2]]="U",1,0))</f>
        <v>0</v>
      </c>
      <c r="AC84" s="18">
        <f>IF(DataTable[[#This Row],[explanation1]]="O",1,IF(DataTable[[#This Row],[explanation2]]="O",1,0))</f>
        <v>1</v>
      </c>
      <c r="AD84" s="18">
        <f>IF(DataTable[[#This Row],[explanation1]]="TP",1,IF(DataTable[[#This Row],[explanation2]]="TP",1,0))</f>
        <v>0</v>
      </c>
      <c r="AE84" s="18">
        <f>IF(DataTable[[#This Row],[explanation1]]="WP",1,IF(DataTable[[#This Row],[explanation2]]="WP",1,0))</f>
        <v>0</v>
      </c>
      <c r="AF84" s="18">
        <f>IF(DataTable[[#This Row],[explanation1]]="BR",1,IF(DataTable[[#This Row],[explanation2]]="BR",1,0))</f>
        <v>0</v>
      </c>
      <c r="AG84" s="18">
        <f>IF(DataTable[[#This Row],[explanation1]]="LS",1,IF(DataTable[[#This Row],[explanation2]]="LS",1,0))</f>
        <v>0</v>
      </c>
      <c r="AH84" s="29" t="s">
        <v>171</v>
      </c>
    </row>
    <row r="85" spans="1:34" x14ac:dyDescent="0.2">
      <c r="A85" s="13">
        <v>83</v>
      </c>
      <c r="B85" s="14" t="s">
        <v>68</v>
      </c>
      <c r="C85" s="15" t="s">
        <v>45</v>
      </c>
      <c r="D85" s="16">
        <v>1</v>
      </c>
      <c r="E85" s="14" t="s">
        <v>46</v>
      </c>
      <c r="F85" s="16">
        <v>30</v>
      </c>
      <c r="G85" s="14" t="s">
        <v>47</v>
      </c>
      <c r="H85" s="15" t="s">
        <v>48</v>
      </c>
      <c r="I85" s="16" t="str">
        <f t="shared" si="1"/>
        <v>R</v>
      </c>
      <c r="J85" s="14" t="s">
        <v>78</v>
      </c>
      <c r="K85" s="16" t="s">
        <v>49</v>
      </c>
      <c r="L85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85" s="15">
        <f>IF(DataTable[[#This Row],[3x head (H)/tail (T)?]]=DataTable[[#This Row],[then 4th: H/T/B/0]],1,0)</f>
        <v>0</v>
      </c>
      <c r="N85" s="15">
        <f>IF(DataTable[[#This Row],[then 4th: H/T/B/0]]="B",1,0)</f>
        <v>0</v>
      </c>
      <c r="O85" s="14" t="s">
        <v>145</v>
      </c>
      <c r="P85" s="15">
        <v>14</v>
      </c>
      <c r="Q85" s="17" t="s">
        <v>118</v>
      </c>
      <c r="R85" s="16" t="s">
        <v>53</v>
      </c>
      <c r="S85" s="18" t="s">
        <v>54</v>
      </c>
      <c r="T85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85" s="19" t="s">
        <v>55</v>
      </c>
      <c r="V85" s="20" t="s">
        <v>6</v>
      </c>
      <c r="W85" s="20" t="s">
        <v>12</v>
      </c>
      <c r="X85" s="18"/>
      <c r="Y85" s="18">
        <f>IF(DataTable[[#This Row],[explanation1]]="BL",1,IF(DataTable[[#This Row],[explanation2]]="BL",1,IF(DataTable[[#This Row],[explanation1]]="BR",1,IF(DataTable[[#This Row],[explanation2]]="BR",1,0))))</f>
        <v>1</v>
      </c>
      <c r="Z85" s="18">
        <f>IF(DataTable[[#This Row],[explanation1]]="BL",1,IF(DataTable[[#This Row],[explanation2]]="BL",1,0))</f>
        <v>1</v>
      </c>
      <c r="AA85" s="18">
        <f>IF(DataTable[[#This Row],[explanation1]]="WJ",1,IF(DataTable[[#This Row],[explanation2]]="WJ",1,0))</f>
        <v>0</v>
      </c>
      <c r="AB85" s="18">
        <f>IF(DataTable[[#This Row],[explanation1]]="U",1,IF(DataTable[[#This Row],[explanation2]]="U",1,0))</f>
        <v>0</v>
      </c>
      <c r="AC85" s="18">
        <f>IF(DataTable[[#This Row],[explanation1]]="O",1,IF(DataTable[[#This Row],[explanation2]]="O",1,0))</f>
        <v>0</v>
      </c>
      <c r="AD85" s="18">
        <f>IF(DataTable[[#This Row],[explanation1]]="TP",1,IF(DataTable[[#This Row],[explanation2]]="TP",1,0))</f>
        <v>0</v>
      </c>
      <c r="AE85" s="18">
        <f>IF(DataTable[[#This Row],[explanation1]]="WP",1,IF(DataTable[[#This Row],[explanation2]]="WP",1,0))</f>
        <v>0</v>
      </c>
      <c r="AF85" s="18">
        <f>IF(DataTable[[#This Row],[explanation1]]="BR",1,IF(DataTable[[#This Row],[explanation2]]="BR",1,0))</f>
        <v>1</v>
      </c>
      <c r="AG85" s="18">
        <f>IF(DataTable[[#This Row],[explanation1]]="LS",1,IF(DataTable[[#This Row],[explanation2]]="LS",1,0))</f>
        <v>0</v>
      </c>
      <c r="AH85" s="20" t="s">
        <v>172</v>
      </c>
    </row>
    <row r="86" spans="1:34" x14ac:dyDescent="0.2">
      <c r="A86" s="22">
        <v>84</v>
      </c>
      <c r="B86" s="23" t="s">
        <v>68</v>
      </c>
      <c r="C86" s="24" t="s">
        <v>45</v>
      </c>
      <c r="D86" s="25">
        <v>1</v>
      </c>
      <c r="E86" s="23" t="s">
        <v>58</v>
      </c>
      <c r="F86" s="25">
        <v>44</v>
      </c>
      <c r="G86" s="23" t="s">
        <v>68</v>
      </c>
      <c r="H86" s="24" t="s">
        <v>48</v>
      </c>
      <c r="I86" s="25" t="str">
        <f t="shared" si="1"/>
        <v>H5</v>
      </c>
      <c r="J86" s="23" t="s">
        <v>78</v>
      </c>
      <c r="K86" s="25" t="s">
        <v>50</v>
      </c>
      <c r="L86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86" s="24">
        <f>IF(DataTable[[#This Row],[3x head (H)/tail (T)?]]=DataTable[[#This Row],[then 4th: H/T/B/0]],1,0)</f>
        <v>0</v>
      </c>
      <c r="N86" s="24">
        <f>IF(DataTable[[#This Row],[then 4th: H/T/B/0]]="B",1,0)</f>
        <v>1</v>
      </c>
      <c r="O86" s="23" t="s">
        <v>145</v>
      </c>
      <c r="P86" s="24">
        <v>21</v>
      </c>
      <c r="Q86" s="26" t="s">
        <v>118</v>
      </c>
      <c r="R86" s="25" t="s">
        <v>53</v>
      </c>
      <c r="S86" s="27" t="s">
        <v>61</v>
      </c>
      <c r="T86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4</v>
      </c>
      <c r="U86" s="28" t="s">
        <v>173</v>
      </c>
      <c r="V86" s="29" t="s">
        <v>8</v>
      </c>
      <c r="W86" s="29" t="s">
        <v>13</v>
      </c>
      <c r="X86" s="29" t="s">
        <v>174</v>
      </c>
      <c r="Y86" s="29">
        <f>IF(DataTable[[#This Row],[explanation1]]="BL",1,IF(DataTable[[#This Row],[explanation2]]="BL",1,IF(DataTable[[#This Row],[explanation1]]="BR",1,IF(DataTable[[#This Row],[explanation2]]="BR",1,0))))</f>
        <v>0</v>
      </c>
      <c r="Z86" s="18">
        <f>IF(DataTable[[#This Row],[explanation1]]="BL",1,IF(DataTable[[#This Row],[explanation2]]="BL",1,0))</f>
        <v>0</v>
      </c>
      <c r="AA86" s="18">
        <f>IF(DataTable[[#This Row],[explanation1]]="WJ",1,IF(DataTable[[#This Row],[explanation2]]="WJ",1,0))</f>
        <v>0</v>
      </c>
      <c r="AB86" s="18">
        <f>IF(DataTable[[#This Row],[explanation1]]="U",1,IF(DataTable[[#This Row],[explanation2]]="U",1,0))</f>
        <v>1</v>
      </c>
      <c r="AC86" s="18">
        <f>IF(DataTable[[#This Row],[explanation1]]="O",1,IF(DataTable[[#This Row],[explanation2]]="O",1,0))</f>
        <v>0</v>
      </c>
      <c r="AD86" s="18">
        <f>IF(DataTable[[#This Row],[explanation1]]="TP",1,IF(DataTable[[#This Row],[explanation2]]="TP",1,0))</f>
        <v>0</v>
      </c>
      <c r="AE86" s="18">
        <f>IF(DataTable[[#This Row],[explanation1]]="WP",1,IF(DataTable[[#This Row],[explanation2]]="WP",1,0))</f>
        <v>0</v>
      </c>
      <c r="AF86" s="18">
        <f>IF(DataTable[[#This Row],[explanation1]]="BR",1,IF(DataTable[[#This Row],[explanation2]]="BR",1,0))</f>
        <v>0</v>
      </c>
      <c r="AG86" s="18">
        <f>IF(DataTable[[#This Row],[explanation1]]="LS",1,IF(DataTable[[#This Row],[explanation2]]="LS",1,0))</f>
        <v>1</v>
      </c>
      <c r="AH86" s="29" t="s">
        <v>175</v>
      </c>
    </row>
    <row r="87" spans="1:34" x14ac:dyDescent="0.2">
      <c r="A87" s="13">
        <v>85</v>
      </c>
      <c r="B87" s="14" t="s">
        <v>70</v>
      </c>
      <c r="C87" s="15" t="s">
        <v>45</v>
      </c>
      <c r="D87" s="16">
        <v>50</v>
      </c>
      <c r="E87" s="14" t="s">
        <v>58</v>
      </c>
      <c r="F87" s="16">
        <v>57</v>
      </c>
      <c r="G87" s="14" t="s">
        <v>70</v>
      </c>
      <c r="H87" s="15" t="s">
        <v>48</v>
      </c>
      <c r="I87" s="16" t="str">
        <f t="shared" si="1"/>
        <v>M5</v>
      </c>
      <c r="J87" s="14" t="s">
        <v>49</v>
      </c>
      <c r="K87" s="16" t="s">
        <v>78</v>
      </c>
      <c r="L87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87" s="15">
        <f>IF(DataTable[[#This Row],[3x head (H)/tail (T)?]]=DataTable[[#This Row],[then 4th: H/T/B/0]],1,0)</f>
        <v>0</v>
      </c>
      <c r="N87" s="15">
        <f>IF(DataTable[[#This Row],[then 4th: H/T/B/0]]="B",1,0)</f>
        <v>0</v>
      </c>
      <c r="O87" s="14" t="s">
        <v>145</v>
      </c>
      <c r="P87" s="15">
        <v>21</v>
      </c>
      <c r="Q87" s="17" t="s">
        <v>118</v>
      </c>
      <c r="R87" s="16" t="s">
        <v>53</v>
      </c>
      <c r="S87" s="18" t="s">
        <v>103</v>
      </c>
      <c r="T87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5</v>
      </c>
      <c r="U87" s="19" t="s">
        <v>111</v>
      </c>
      <c r="V87" s="20" t="s">
        <v>8</v>
      </c>
      <c r="W87" s="20"/>
      <c r="X87" s="18"/>
      <c r="Y87" s="18">
        <f>IF(DataTable[[#This Row],[explanation1]]="BL",1,IF(DataTable[[#This Row],[explanation2]]="BL",1,IF(DataTable[[#This Row],[explanation1]]="BR",1,IF(DataTable[[#This Row],[explanation2]]="BR",1,0))))</f>
        <v>0</v>
      </c>
      <c r="Z87" s="18">
        <f>IF(DataTable[[#This Row],[explanation1]]="BL",1,IF(DataTable[[#This Row],[explanation2]]="BL",1,0))</f>
        <v>0</v>
      </c>
      <c r="AA87" s="18">
        <f>IF(DataTable[[#This Row],[explanation1]]="WJ",1,IF(DataTable[[#This Row],[explanation2]]="WJ",1,0))</f>
        <v>0</v>
      </c>
      <c r="AB87" s="18">
        <f>IF(DataTable[[#This Row],[explanation1]]="U",1,IF(DataTable[[#This Row],[explanation2]]="U",1,0))</f>
        <v>1</v>
      </c>
      <c r="AC87" s="18">
        <f>IF(DataTable[[#This Row],[explanation1]]="O",1,IF(DataTable[[#This Row],[explanation2]]="O",1,0))</f>
        <v>0</v>
      </c>
      <c r="AD87" s="18">
        <f>IF(DataTable[[#This Row],[explanation1]]="TP",1,IF(DataTable[[#This Row],[explanation2]]="TP",1,0))</f>
        <v>0</v>
      </c>
      <c r="AE87" s="18">
        <f>IF(DataTable[[#This Row],[explanation1]]="WP",1,IF(DataTable[[#This Row],[explanation2]]="WP",1,0))</f>
        <v>0</v>
      </c>
      <c r="AF87" s="18">
        <f>IF(DataTable[[#This Row],[explanation1]]="BR",1,IF(DataTable[[#This Row],[explanation2]]="BR",1,0))</f>
        <v>0</v>
      </c>
      <c r="AG87" s="18">
        <f>IF(DataTable[[#This Row],[explanation1]]="LS",1,IF(DataTable[[#This Row],[explanation2]]="LS",1,0))</f>
        <v>0</v>
      </c>
      <c r="AH87" s="20" t="s">
        <v>176</v>
      </c>
    </row>
    <row r="88" spans="1:34" x14ac:dyDescent="0.2">
      <c r="A88" s="22">
        <v>86</v>
      </c>
      <c r="B88" s="23" t="s">
        <v>70</v>
      </c>
      <c r="C88" s="24" t="s">
        <v>45</v>
      </c>
      <c r="D88" s="25">
        <v>50</v>
      </c>
      <c r="E88" s="23" t="s">
        <v>46</v>
      </c>
      <c r="F88" s="25">
        <v>33</v>
      </c>
      <c r="G88" s="23" t="s">
        <v>70</v>
      </c>
      <c r="H88" s="24" t="s">
        <v>48</v>
      </c>
      <c r="I88" s="25" t="str">
        <f t="shared" si="1"/>
        <v>M5</v>
      </c>
      <c r="J88" s="23" t="s">
        <v>49</v>
      </c>
      <c r="K88" s="25" t="s">
        <v>50</v>
      </c>
      <c r="L88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88" s="24">
        <f>IF(DataTable[[#This Row],[3x head (H)/tail (T)?]]=DataTable[[#This Row],[then 4th: H/T/B/0]],1,0)</f>
        <v>0</v>
      </c>
      <c r="N88" s="24">
        <f>IF(DataTable[[#This Row],[then 4th: H/T/B/0]]="B",1,0)</f>
        <v>1</v>
      </c>
      <c r="O88" s="23" t="s">
        <v>145</v>
      </c>
      <c r="P88" s="24">
        <v>21</v>
      </c>
      <c r="Q88" s="26" t="s">
        <v>118</v>
      </c>
      <c r="R88" s="25" t="s">
        <v>53</v>
      </c>
      <c r="S88" s="27" t="s">
        <v>75</v>
      </c>
      <c r="T88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88" s="28" t="s">
        <v>76</v>
      </c>
      <c r="V88" s="29" t="s">
        <v>13</v>
      </c>
      <c r="W88" s="29"/>
      <c r="X88" s="27"/>
      <c r="Y88" s="27">
        <f>IF(DataTable[[#This Row],[explanation1]]="BL",1,IF(DataTable[[#This Row],[explanation2]]="BL",1,IF(DataTable[[#This Row],[explanation1]]="BR",1,IF(DataTable[[#This Row],[explanation2]]="BR",1,0))))</f>
        <v>0</v>
      </c>
      <c r="Z88" s="18">
        <f>IF(DataTable[[#This Row],[explanation1]]="BL",1,IF(DataTable[[#This Row],[explanation2]]="BL",1,0))</f>
        <v>0</v>
      </c>
      <c r="AA88" s="18">
        <f>IF(DataTable[[#This Row],[explanation1]]="WJ",1,IF(DataTable[[#This Row],[explanation2]]="WJ",1,0))</f>
        <v>0</v>
      </c>
      <c r="AB88" s="18">
        <f>IF(DataTable[[#This Row],[explanation1]]="U",1,IF(DataTable[[#This Row],[explanation2]]="U",1,0))</f>
        <v>0</v>
      </c>
      <c r="AC88" s="18">
        <f>IF(DataTable[[#This Row],[explanation1]]="O",1,IF(DataTable[[#This Row],[explanation2]]="O",1,0))</f>
        <v>0</v>
      </c>
      <c r="AD88" s="18">
        <f>IF(DataTable[[#This Row],[explanation1]]="TP",1,IF(DataTable[[#This Row],[explanation2]]="TP",1,0))</f>
        <v>0</v>
      </c>
      <c r="AE88" s="18">
        <f>IF(DataTable[[#This Row],[explanation1]]="WP",1,IF(DataTable[[#This Row],[explanation2]]="WP",1,0))</f>
        <v>0</v>
      </c>
      <c r="AF88" s="18">
        <f>IF(DataTable[[#This Row],[explanation1]]="BR",1,IF(DataTable[[#This Row],[explanation2]]="BR",1,0))</f>
        <v>0</v>
      </c>
      <c r="AG88" s="18">
        <f>IF(DataTable[[#This Row],[explanation1]]="LS",1,IF(DataTable[[#This Row],[explanation2]]="LS",1,0))</f>
        <v>1</v>
      </c>
      <c r="AH88" s="29" t="s">
        <v>177</v>
      </c>
    </row>
    <row r="89" spans="1:34" x14ac:dyDescent="0.2">
      <c r="A89" s="13">
        <v>87</v>
      </c>
      <c r="B89" s="14" t="s">
        <v>70</v>
      </c>
      <c r="C89" s="15" t="s">
        <v>45</v>
      </c>
      <c r="D89" s="16">
        <v>50</v>
      </c>
      <c r="E89" s="14" t="s">
        <v>58</v>
      </c>
      <c r="F89" s="16">
        <v>43</v>
      </c>
      <c r="G89" s="14" t="s">
        <v>47</v>
      </c>
      <c r="H89" s="15" t="s">
        <v>48</v>
      </c>
      <c r="I89" s="16" t="str">
        <f t="shared" si="1"/>
        <v>R</v>
      </c>
      <c r="J89" s="14" t="s">
        <v>49</v>
      </c>
      <c r="K89" s="16" t="s">
        <v>78</v>
      </c>
      <c r="L89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89" s="15">
        <f>IF(DataTable[[#This Row],[3x head (H)/tail (T)?]]=DataTable[[#This Row],[then 4th: H/T/B/0]],1,0)</f>
        <v>0</v>
      </c>
      <c r="N89" s="15">
        <f>IF(DataTable[[#This Row],[then 4th: H/T/B/0]]="B",1,0)</f>
        <v>0</v>
      </c>
      <c r="O89" s="14" t="s">
        <v>145</v>
      </c>
      <c r="P89" s="15">
        <v>21</v>
      </c>
      <c r="Q89" s="17" t="s">
        <v>118</v>
      </c>
      <c r="R89" s="16" t="s">
        <v>53</v>
      </c>
      <c r="S89" s="18" t="s">
        <v>75</v>
      </c>
      <c r="T89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89" s="19" t="s">
        <v>76</v>
      </c>
      <c r="V89" s="20" t="s">
        <v>6</v>
      </c>
      <c r="W89" s="20"/>
      <c r="X89" s="18"/>
      <c r="Y89" s="18">
        <f>IF(DataTable[[#This Row],[explanation1]]="BL",1,IF(DataTable[[#This Row],[explanation2]]="BL",1,IF(DataTable[[#This Row],[explanation1]]="BR",1,IF(DataTable[[#This Row],[explanation2]]="BR",1,0))))</f>
        <v>1</v>
      </c>
      <c r="Z89" s="18">
        <f>IF(DataTable[[#This Row],[explanation1]]="BL",1,IF(DataTable[[#This Row],[explanation2]]="BL",1,0))</f>
        <v>1</v>
      </c>
      <c r="AA89" s="18">
        <f>IF(DataTable[[#This Row],[explanation1]]="WJ",1,IF(DataTable[[#This Row],[explanation2]]="WJ",1,0))</f>
        <v>0</v>
      </c>
      <c r="AB89" s="18">
        <f>IF(DataTable[[#This Row],[explanation1]]="U",1,IF(DataTable[[#This Row],[explanation2]]="U",1,0))</f>
        <v>0</v>
      </c>
      <c r="AC89" s="18">
        <f>IF(DataTable[[#This Row],[explanation1]]="O",1,IF(DataTable[[#This Row],[explanation2]]="O",1,0))</f>
        <v>0</v>
      </c>
      <c r="AD89" s="18">
        <f>IF(DataTable[[#This Row],[explanation1]]="TP",1,IF(DataTable[[#This Row],[explanation2]]="TP",1,0))</f>
        <v>0</v>
      </c>
      <c r="AE89" s="18">
        <f>IF(DataTable[[#This Row],[explanation1]]="WP",1,IF(DataTable[[#This Row],[explanation2]]="WP",1,0))</f>
        <v>0</v>
      </c>
      <c r="AF89" s="18">
        <f>IF(DataTable[[#This Row],[explanation1]]="BR",1,IF(DataTable[[#This Row],[explanation2]]="BR",1,0))</f>
        <v>0</v>
      </c>
      <c r="AG89" s="18">
        <f>IF(DataTable[[#This Row],[explanation1]]="LS",1,IF(DataTable[[#This Row],[explanation2]]="LS",1,0))</f>
        <v>0</v>
      </c>
      <c r="AH89" s="20" t="s">
        <v>6</v>
      </c>
    </row>
    <row r="90" spans="1:34" x14ac:dyDescent="0.2">
      <c r="A90" s="22">
        <v>88</v>
      </c>
      <c r="B90" s="23" t="s">
        <v>70</v>
      </c>
      <c r="C90" s="24" t="s">
        <v>45</v>
      </c>
      <c r="D90" s="25">
        <v>50</v>
      </c>
      <c r="E90" s="23" t="s">
        <v>46</v>
      </c>
      <c r="F90" s="25">
        <v>45</v>
      </c>
      <c r="G90" s="23" t="s">
        <v>47</v>
      </c>
      <c r="H90" s="24" t="s">
        <v>48</v>
      </c>
      <c r="I90" s="25" t="str">
        <f t="shared" si="1"/>
        <v>R</v>
      </c>
      <c r="J90" s="23" t="s">
        <v>49</v>
      </c>
      <c r="K90" s="25" t="s">
        <v>78</v>
      </c>
      <c r="L90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90" s="24">
        <f>IF(DataTable[[#This Row],[3x head (H)/tail (T)?]]=DataTable[[#This Row],[then 4th: H/T/B/0]],1,0)</f>
        <v>0</v>
      </c>
      <c r="N90" s="24">
        <f>IF(DataTable[[#This Row],[then 4th: H/T/B/0]]="B",1,0)</f>
        <v>0</v>
      </c>
      <c r="O90" s="23" t="s">
        <v>145</v>
      </c>
      <c r="P90" s="24">
        <v>21</v>
      </c>
      <c r="Q90" s="26" t="s">
        <v>118</v>
      </c>
      <c r="R90" s="25" t="s">
        <v>53</v>
      </c>
      <c r="S90" s="27" t="s">
        <v>54</v>
      </c>
      <c r="T90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90" s="28" t="s">
        <v>55</v>
      </c>
      <c r="V90" s="29" t="s">
        <v>6</v>
      </c>
      <c r="W90" s="29" t="s">
        <v>12</v>
      </c>
      <c r="X90" s="27"/>
      <c r="Y90" s="27">
        <f>IF(DataTable[[#This Row],[explanation1]]="BL",1,IF(DataTable[[#This Row],[explanation2]]="BL",1,IF(DataTable[[#This Row],[explanation1]]="BR",1,IF(DataTable[[#This Row],[explanation2]]="BR",1,0))))</f>
        <v>1</v>
      </c>
      <c r="Z90" s="18">
        <f>IF(DataTable[[#This Row],[explanation1]]="BL",1,IF(DataTable[[#This Row],[explanation2]]="BL",1,0))</f>
        <v>1</v>
      </c>
      <c r="AA90" s="18">
        <f>IF(DataTable[[#This Row],[explanation1]]="WJ",1,IF(DataTable[[#This Row],[explanation2]]="WJ",1,0))</f>
        <v>0</v>
      </c>
      <c r="AB90" s="18">
        <f>IF(DataTable[[#This Row],[explanation1]]="U",1,IF(DataTable[[#This Row],[explanation2]]="U",1,0))</f>
        <v>0</v>
      </c>
      <c r="AC90" s="18">
        <f>IF(DataTable[[#This Row],[explanation1]]="O",1,IF(DataTable[[#This Row],[explanation2]]="O",1,0))</f>
        <v>0</v>
      </c>
      <c r="AD90" s="18">
        <f>IF(DataTable[[#This Row],[explanation1]]="TP",1,IF(DataTable[[#This Row],[explanation2]]="TP",1,0))</f>
        <v>0</v>
      </c>
      <c r="AE90" s="18">
        <f>IF(DataTable[[#This Row],[explanation1]]="WP",1,IF(DataTable[[#This Row],[explanation2]]="WP",1,0))</f>
        <v>0</v>
      </c>
      <c r="AF90" s="18">
        <f>IF(DataTable[[#This Row],[explanation1]]="BR",1,IF(DataTable[[#This Row],[explanation2]]="BR",1,0))</f>
        <v>1</v>
      </c>
      <c r="AG90" s="18">
        <f>IF(DataTable[[#This Row],[explanation1]]="LS",1,IF(DataTable[[#This Row],[explanation2]]="LS",1,0))</f>
        <v>0</v>
      </c>
      <c r="AH90" s="29" t="s">
        <v>178</v>
      </c>
    </row>
    <row r="91" spans="1:34" x14ac:dyDescent="0.2">
      <c r="A91" s="13">
        <v>89</v>
      </c>
      <c r="B91" s="14" t="s">
        <v>68</v>
      </c>
      <c r="C91" s="15" t="s">
        <v>45</v>
      </c>
      <c r="D91" s="16">
        <v>50</v>
      </c>
      <c r="E91" s="14" t="s">
        <v>46</v>
      </c>
      <c r="F91" s="16">
        <v>33</v>
      </c>
      <c r="G91" s="14" t="s">
        <v>68</v>
      </c>
      <c r="H91" s="15" t="s">
        <v>48</v>
      </c>
      <c r="I91" s="16" t="str">
        <f t="shared" si="1"/>
        <v>H5</v>
      </c>
      <c r="J91" s="14" t="s">
        <v>49</v>
      </c>
      <c r="K91" s="16" t="s">
        <v>50</v>
      </c>
      <c r="L91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91" s="15">
        <f>IF(DataTable[[#This Row],[3x head (H)/tail (T)?]]=DataTable[[#This Row],[then 4th: H/T/B/0]],1,0)</f>
        <v>0</v>
      </c>
      <c r="N91" s="15">
        <f>IF(DataTable[[#This Row],[then 4th: H/T/B/0]]="B",1,0)</f>
        <v>1</v>
      </c>
      <c r="O91" s="14" t="s">
        <v>145</v>
      </c>
      <c r="P91" s="15">
        <v>21</v>
      </c>
      <c r="Q91" s="17" t="s">
        <v>118</v>
      </c>
      <c r="R91" s="16" t="s">
        <v>53</v>
      </c>
      <c r="S91" s="18" t="s">
        <v>75</v>
      </c>
      <c r="T91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91" s="19" t="s">
        <v>76</v>
      </c>
      <c r="V91" s="20" t="s">
        <v>13</v>
      </c>
      <c r="W91" s="20" t="s">
        <v>8</v>
      </c>
      <c r="X91" s="18" t="s">
        <v>179</v>
      </c>
      <c r="Y91" s="18">
        <f>IF(DataTable[[#This Row],[explanation1]]="BL",1,IF(DataTable[[#This Row],[explanation2]]="BL",1,IF(DataTable[[#This Row],[explanation1]]="BR",1,IF(DataTable[[#This Row],[explanation2]]="BR",1,0))))</f>
        <v>0</v>
      </c>
      <c r="Z91" s="18">
        <f>IF(DataTable[[#This Row],[explanation1]]="BL",1,IF(DataTable[[#This Row],[explanation2]]="BL",1,0))</f>
        <v>0</v>
      </c>
      <c r="AA91" s="18">
        <f>IF(DataTable[[#This Row],[explanation1]]="WJ",1,IF(DataTable[[#This Row],[explanation2]]="WJ",1,0))</f>
        <v>0</v>
      </c>
      <c r="AB91" s="18">
        <f>IF(DataTable[[#This Row],[explanation1]]="U",1,IF(DataTable[[#This Row],[explanation2]]="U",1,0))</f>
        <v>1</v>
      </c>
      <c r="AC91" s="18">
        <f>IF(DataTable[[#This Row],[explanation1]]="O",1,IF(DataTable[[#This Row],[explanation2]]="O",1,0))</f>
        <v>0</v>
      </c>
      <c r="AD91" s="18">
        <f>IF(DataTable[[#This Row],[explanation1]]="TP",1,IF(DataTable[[#This Row],[explanation2]]="TP",1,0))</f>
        <v>0</v>
      </c>
      <c r="AE91" s="18">
        <f>IF(DataTable[[#This Row],[explanation1]]="WP",1,IF(DataTable[[#This Row],[explanation2]]="WP",1,0))</f>
        <v>0</v>
      </c>
      <c r="AF91" s="18">
        <f>IF(DataTable[[#This Row],[explanation1]]="BR",1,IF(DataTable[[#This Row],[explanation2]]="BR",1,0))</f>
        <v>0</v>
      </c>
      <c r="AG91" s="18">
        <f>IF(DataTable[[#This Row],[explanation1]]="LS",1,IF(DataTable[[#This Row],[explanation2]]="LS",1,0))</f>
        <v>1</v>
      </c>
      <c r="AH91" s="20" t="s">
        <v>180</v>
      </c>
    </row>
    <row r="92" spans="1:34" x14ac:dyDescent="0.2">
      <c r="A92" s="22">
        <v>90</v>
      </c>
      <c r="B92" s="23" t="s">
        <v>68</v>
      </c>
      <c r="C92" s="24" t="s">
        <v>45</v>
      </c>
      <c r="D92" s="25">
        <v>50</v>
      </c>
      <c r="E92" s="23" t="s">
        <v>58</v>
      </c>
      <c r="F92" s="25">
        <v>23</v>
      </c>
      <c r="G92" s="23" t="s">
        <v>47</v>
      </c>
      <c r="H92" s="24" t="s">
        <v>48</v>
      </c>
      <c r="I92" s="25" t="str">
        <f t="shared" si="1"/>
        <v>R</v>
      </c>
      <c r="J92" s="23" t="s">
        <v>49</v>
      </c>
      <c r="K92" s="25" t="s">
        <v>50</v>
      </c>
      <c r="L92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92" s="24">
        <f>IF(DataTable[[#This Row],[3x head (H)/tail (T)?]]=DataTable[[#This Row],[then 4th: H/T/B/0]],1,0)</f>
        <v>0</v>
      </c>
      <c r="N92" s="24">
        <f>IF(DataTable[[#This Row],[then 4th: H/T/B/0]]="B",1,0)</f>
        <v>1</v>
      </c>
      <c r="O92" s="23" t="s">
        <v>145</v>
      </c>
      <c r="P92" s="24">
        <v>21</v>
      </c>
      <c r="Q92" s="26" t="s">
        <v>409</v>
      </c>
      <c r="R92" s="25" t="s">
        <v>53</v>
      </c>
      <c r="S92" s="27" t="s">
        <v>75</v>
      </c>
      <c r="T92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92" s="28" t="s">
        <v>76</v>
      </c>
      <c r="V92" s="29" t="s">
        <v>12</v>
      </c>
      <c r="W92" s="29"/>
      <c r="X92" s="27"/>
      <c r="Y92" s="27">
        <f>IF(DataTable[[#This Row],[explanation1]]="BL",1,IF(DataTable[[#This Row],[explanation2]]="BL",1,IF(DataTable[[#This Row],[explanation1]]="BR",1,IF(DataTable[[#This Row],[explanation2]]="BR",1,0))))</f>
        <v>1</v>
      </c>
      <c r="Z92" s="18">
        <f>IF(DataTable[[#This Row],[explanation1]]="BL",1,IF(DataTable[[#This Row],[explanation2]]="BL",1,0))</f>
        <v>0</v>
      </c>
      <c r="AA92" s="18">
        <f>IF(DataTable[[#This Row],[explanation1]]="WJ",1,IF(DataTable[[#This Row],[explanation2]]="WJ",1,0))</f>
        <v>0</v>
      </c>
      <c r="AB92" s="18">
        <f>IF(DataTable[[#This Row],[explanation1]]="U",1,IF(DataTable[[#This Row],[explanation2]]="U",1,0))</f>
        <v>0</v>
      </c>
      <c r="AC92" s="18">
        <f>IF(DataTable[[#This Row],[explanation1]]="O",1,IF(DataTable[[#This Row],[explanation2]]="O",1,0))</f>
        <v>0</v>
      </c>
      <c r="AD92" s="18">
        <f>IF(DataTable[[#This Row],[explanation1]]="TP",1,IF(DataTable[[#This Row],[explanation2]]="TP",1,0))</f>
        <v>0</v>
      </c>
      <c r="AE92" s="18">
        <f>IF(DataTable[[#This Row],[explanation1]]="WP",1,IF(DataTable[[#This Row],[explanation2]]="WP",1,0))</f>
        <v>0</v>
      </c>
      <c r="AF92" s="18">
        <f>IF(DataTable[[#This Row],[explanation1]]="BR",1,IF(DataTable[[#This Row],[explanation2]]="BR",1,0))</f>
        <v>1</v>
      </c>
      <c r="AG92" s="18">
        <f>IF(DataTable[[#This Row],[explanation1]]="LS",1,IF(DataTable[[#This Row],[explanation2]]="LS",1,0))</f>
        <v>0</v>
      </c>
      <c r="AH92" s="29" t="s">
        <v>182</v>
      </c>
    </row>
    <row r="93" spans="1:34" x14ac:dyDescent="0.2">
      <c r="A93" s="13">
        <v>91</v>
      </c>
      <c r="B93" s="14" t="s">
        <v>68</v>
      </c>
      <c r="C93" s="15" t="s">
        <v>45</v>
      </c>
      <c r="D93" s="16">
        <v>50</v>
      </c>
      <c r="E93" s="14" t="s">
        <v>58</v>
      </c>
      <c r="F93" s="16">
        <v>71</v>
      </c>
      <c r="G93" s="14" t="s">
        <v>47</v>
      </c>
      <c r="H93" s="15" t="s">
        <v>48</v>
      </c>
      <c r="I93" s="16" t="str">
        <f t="shared" si="1"/>
        <v>R</v>
      </c>
      <c r="J93" s="14" t="s">
        <v>49</v>
      </c>
      <c r="K93" s="16" t="s">
        <v>78</v>
      </c>
      <c r="L93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93" s="15">
        <f>IF(DataTable[[#This Row],[3x head (H)/tail (T)?]]=DataTable[[#This Row],[then 4th: H/T/B/0]],1,0)</f>
        <v>0</v>
      </c>
      <c r="N93" s="15">
        <f>IF(DataTable[[#This Row],[then 4th: H/T/B/0]]="B",1,0)</f>
        <v>0</v>
      </c>
      <c r="O93" s="14" t="s">
        <v>145</v>
      </c>
      <c r="P93" s="15">
        <v>21</v>
      </c>
      <c r="Q93" s="17" t="s">
        <v>409</v>
      </c>
      <c r="R93" s="16" t="s">
        <v>53</v>
      </c>
      <c r="S93" s="30" t="s">
        <v>103</v>
      </c>
      <c r="T93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5</v>
      </c>
      <c r="U93" s="19" t="s">
        <v>183</v>
      </c>
      <c r="V93" s="20" t="s">
        <v>13</v>
      </c>
      <c r="W93" s="20"/>
      <c r="X93" s="18"/>
      <c r="Y93" s="18">
        <f>IF(DataTable[[#This Row],[explanation1]]="BL",1,IF(DataTable[[#This Row],[explanation2]]="BL",1,IF(DataTable[[#This Row],[explanation1]]="BR",1,IF(DataTable[[#This Row],[explanation2]]="BR",1,0))))</f>
        <v>0</v>
      </c>
      <c r="Z93" s="18">
        <f>IF(DataTable[[#This Row],[explanation1]]="BL",1,IF(DataTable[[#This Row],[explanation2]]="BL",1,0))</f>
        <v>0</v>
      </c>
      <c r="AA93" s="18">
        <f>IF(DataTable[[#This Row],[explanation1]]="WJ",1,IF(DataTable[[#This Row],[explanation2]]="WJ",1,0))</f>
        <v>0</v>
      </c>
      <c r="AB93" s="18">
        <f>IF(DataTable[[#This Row],[explanation1]]="U",1,IF(DataTable[[#This Row],[explanation2]]="U",1,0))</f>
        <v>0</v>
      </c>
      <c r="AC93" s="18">
        <f>IF(DataTable[[#This Row],[explanation1]]="O",1,IF(DataTable[[#This Row],[explanation2]]="O",1,0))</f>
        <v>0</v>
      </c>
      <c r="AD93" s="18">
        <f>IF(DataTable[[#This Row],[explanation1]]="TP",1,IF(DataTable[[#This Row],[explanation2]]="TP",1,0))</f>
        <v>0</v>
      </c>
      <c r="AE93" s="18">
        <f>IF(DataTable[[#This Row],[explanation1]]="WP",1,IF(DataTable[[#This Row],[explanation2]]="WP",1,0))</f>
        <v>0</v>
      </c>
      <c r="AF93" s="18">
        <f>IF(DataTable[[#This Row],[explanation1]]="BR",1,IF(DataTable[[#This Row],[explanation2]]="BR",1,0))</f>
        <v>0</v>
      </c>
      <c r="AG93" s="18">
        <f>IF(DataTable[[#This Row],[explanation1]]="LS",1,IF(DataTable[[#This Row],[explanation2]]="LS",1,0))</f>
        <v>1</v>
      </c>
      <c r="AH93" s="20" t="s">
        <v>184</v>
      </c>
    </row>
    <row r="94" spans="1:34" x14ac:dyDescent="0.2">
      <c r="A94" s="22">
        <v>92</v>
      </c>
      <c r="B94" s="23" t="s">
        <v>68</v>
      </c>
      <c r="C94" s="24" t="s">
        <v>45</v>
      </c>
      <c r="D94" s="25">
        <v>50</v>
      </c>
      <c r="E94" s="23" t="s">
        <v>58</v>
      </c>
      <c r="F94" s="25">
        <v>43</v>
      </c>
      <c r="G94" s="23" t="s">
        <v>68</v>
      </c>
      <c r="H94" s="24" t="s">
        <v>48</v>
      </c>
      <c r="I94" s="25" t="str">
        <f t="shared" si="1"/>
        <v>H5</v>
      </c>
      <c r="J94" s="23" t="s">
        <v>49</v>
      </c>
      <c r="K94" s="25" t="s">
        <v>50</v>
      </c>
      <c r="L94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94" s="24">
        <f>IF(DataTable[[#This Row],[3x head (H)/tail (T)?]]=DataTable[[#This Row],[then 4th: H/T/B/0]],1,0)</f>
        <v>0</v>
      </c>
      <c r="N94" s="24">
        <f>IF(DataTable[[#This Row],[then 4th: H/T/B/0]]="B",1,0)</f>
        <v>1</v>
      </c>
      <c r="O94" s="23" t="s">
        <v>145</v>
      </c>
      <c r="P94" s="24">
        <v>21</v>
      </c>
      <c r="Q94" s="26" t="s">
        <v>409</v>
      </c>
      <c r="R94" s="25" t="s">
        <v>53</v>
      </c>
      <c r="S94" s="27" t="s">
        <v>65</v>
      </c>
      <c r="T94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94" s="28" t="s">
        <v>95</v>
      </c>
      <c r="V94" s="29" t="s">
        <v>13</v>
      </c>
      <c r="W94" s="29"/>
      <c r="X94" s="27"/>
      <c r="Y94" s="27">
        <f>IF(DataTable[[#This Row],[explanation1]]="BL",1,IF(DataTable[[#This Row],[explanation2]]="BL",1,IF(DataTable[[#This Row],[explanation1]]="BR",1,IF(DataTable[[#This Row],[explanation2]]="BR",1,0))))</f>
        <v>0</v>
      </c>
      <c r="Z94" s="18">
        <f>IF(DataTable[[#This Row],[explanation1]]="BL",1,IF(DataTable[[#This Row],[explanation2]]="BL",1,0))</f>
        <v>0</v>
      </c>
      <c r="AA94" s="18">
        <f>IF(DataTable[[#This Row],[explanation1]]="WJ",1,IF(DataTable[[#This Row],[explanation2]]="WJ",1,0))</f>
        <v>0</v>
      </c>
      <c r="AB94" s="18">
        <f>IF(DataTable[[#This Row],[explanation1]]="U",1,IF(DataTable[[#This Row],[explanation2]]="U",1,0))</f>
        <v>0</v>
      </c>
      <c r="AC94" s="18">
        <f>IF(DataTable[[#This Row],[explanation1]]="O",1,IF(DataTable[[#This Row],[explanation2]]="O",1,0))</f>
        <v>0</v>
      </c>
      <c r="AD94" s="18">
        <f>IF(DataTable[[#This Row],[explanation1]]="TP",1,IF(DataTable[[#This Row],[explanation2]]="TP",1,0))</f>
        <v>0</v>
      </c>
      <c r="AE94" s="18">
        <f>IF(DataTable[[#This Row],[explanation1]]="WP",1,IF(DataTable[[#This Row],[explanation2]]="WP",1,0))</f>
        <v>0</v>
      </c>
      <c r="AF94" s="18">
        <f>IF(DataTable[[#This Row],[explanation1]]="BR",1,IF(DataTable[[#This Row],[explanation2]]="BR",1,0))</f>
        <v>0</v>
      </c>
      <c r="AG94" s="18">
        <f>IF(DataTable[[#This Row],[explanation1]]="LS",1,IF(DataTable[[#This Row],[explanation2]]="LS",1,0))</f>
        <v>1</v>
      </c>
      <c r="AH94" s="29" t="s">
        <v>185</v>
      </c>
    </row>
    <row r="95" spans="1:34" x14ac:dyDescent="0.2">
      <c r="A95" s="13">
        <v>93</v>
      </c>
      <c r="B95" s="14" t="s">
        <v>64</v>
      </c>
      <c r="C95" s="15" t="s">
        <v>74</v>
      </c>
      <c r="D95" s="16">
        <v>1</v>
      </c>
      <c r="E95" s="14" t="s">
        <v>46</v>
      </c>
      <c r="F95" s="16">
        <v>23</v>
      </c>
      <c r="G95" s="14" t="s">
        <v>47</v>
      </c>
      <c r="H95" s="15" t="s">
        <v>48</v>
      </c>
      <c r="I95" s="16" t="str">
        <f t="shared" si="1"/>
        <v>R</v>
      </c>
      <c r="J95" s="14" t="s">
        <v>78</v>
      </c>
      <c r="K95" s="16" t="s">
        <v>50</v>
      </c>
      <c r="L95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95" s="15">
        <f>IF(DataTable[[#This Row],[3x head (H)/tail (T)?]]=DataTable[[#This Row],[then 4th: H/T/B/0]],1,0)</f>
        <v>0</v>
      </c>
      <c r="N95" s="15">
        <f>IF(DataTable[[#This Row],[then 4th: H/T/B/0]]="B",1,0)</f>
        <v>1</v>
      </c>
      <c r="O95" s="14" t="s">
        <v>145</v>
      </c>
      <c r="P95" s="15">
        <v>21</v>
      </c>
      <c r="Q95" s="17" t="s">
        <v>409</v>
      </c>
      <c r="R95" s="16" t="s">
        <v>53</v>
      </c>
      <c r="S95" s="18" t="s">
        <v>65</v>
      </c>
      <c r="T95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95" s="19" t="s">
        <v>186</v>
      </c>
      <c r="V95" s="20" t="s">
        <v>6</v>
      </c>
      <c r="W95" s="20"/>
      <c r="X95" s="18"/>
      <c r="Y95" s="18">
        <f>IF(DataTable[[#This Row],[explanation1]]="BL",1,IF(DataTable[[#This Row],[explanation2]]="BL",1,IF(DataTable[[#This Row],[explanation1]]="BR",1,IF(DataTable[[#This Row],[explanation2]]="BR",1,0))))</f>
        <v>1</v>
      </c>
      <c r="Z95" s="18">
        <f>IF(DataTable[[#This Row],[explanation1]]="BL",1,IF(DataTable[[#This Row],[explanation2]]="BL",1,0))</f>
        <v>1</v>
      </c>
      <c r="AA95" s="18">
        <f>IF(DataTable[[#This Row],[explanation1]]="WJ",1,IF(DataTable[[#This Row],[explanation2]]="WJ",1,0))</f>
        <v>0</v>
      </c>
      <c r="AB95" s="18">
        <f>IF(DataTable[[#This Row],[explanation1]]="U",1,IF(DataTable[[#This Row],[explanation2]]="U",1,0))</f>
        <v>0</v>
      </c>
      <c r="AC95" s="18">
        <f>IF(DataTable[[#This Row],[explanation1]]="O",1,IF(DataTable[[#This Row],[explanation2]]="O",1,0))</f>
        <v>0</v>
      </c>
      <c r="AD95" s="18">
        <f>IF(DataTable[[#This Row],[explanation1]]="TP",1,IF(DataTable[[#This Row],[explanation2]]="TP",1,0))</f>
        <v>0</v>
      </c>
      <c r="AE95" s="18">
        <f>IF(DataTable[[#This Row],[explanation1]]="WP",1,IF(DataTable[[#This Row],[explanation2]]="WP",1,0))</f>
        <v>0</v>
      </c>
      <c r="AF95" s="18">
        <f>IF(DataTable[[#This Row],[explanation1]]="BR",1,IF(DataTable[[#This Row],[explanation2]]="BR",1,0))</f>
        <v>0</v>
      </c>
      <c r="AG95" s="18">
        <f>IF(DataTable[[#This Row],[explanation1]]="LS",1,IF(DataTable[[#This Row],[explanation2]]="LS",1,0))</f>
        <v>0</v>
      </c>
      <c r="AH95" s="20" t="s">
        <v>6</v>
      </c>
    </row>
    <row r="96" spans="1:34" x14ac:dyDescent="0.2">
      <c r="A96" s="22">
        <v>94</v>
      </c>
      <c r="B96" s="23" t="s">
        <v>64</v>
      </c>
      <c r="C96" s="24" t="s">
        <v>74</v>
      </c>
      <c r="D96" s="25">
        <v>1</v>
      </c>
      <c r="E96" s="23" t="s">
        <v>46</v>
      </c>
      <c r="F96" s="25">
        <v>38</v>
      </c>
      <c r="G96" s="23" t="s">
        <v>47</v>
      </c>
      <c r="H96" s="24" t="s">
        <v>48</v>
      </c>
      <c r="I96" s="25" t="str">
        <f t="shared" si="1"/>
        <v>R</v>
      </c>
      <c r="J96" s="23" t="s">
        <v>78</v>
      </c>
      <c r="K96" s="25" t="s">
        <v>50</v>
      </c>
      <c r="L96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96" s="24">
        <f>IF(DataTable[[#This Row],[3x head (H)/tail (T)?]]=DataTable[[#This Row],[then 4th: H/T/B/0]],1,0)</f>
        <v>0</v>
      </c>
      <c r="N96" s="24">
        <f>IF(DataTable[[#This Row],[then 4th: H/T/B/0]]="B",1,0)</f>
        <v>1</v>
      </c>
      <c r="O96" s="23" t="s">
        <v>145</v>
      </c>
      <c r="P96" s="24">
        <v>21</v>
      </c>
      <c r="Q96" s="26" t="s">
        <v>409</v>
      </c>
      <c r="R96" s="25" t="s">
        <v>53</v>
      </c>
      <c r="S96" s="27" t="s">
        <v>75</v>
      </c>
      <c r="T96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96" s="28" t="s">
        <v>76</v>
      </c>
      <c r="V96" s="29" t="s">
        <v>11</v>
      </c>
      <c r="W96" s="29"/>
      <c r="X96" s="27"/>
      <c r="Y96" s="27">
        <f>IF(DataTable[[#This Row],[explanation1]]="BL",1,IF(DataTable[[#This Row],[explanation2]]="BL",1,IF(DataTable[[#This Row],[explanation1]]="BR",1,IF(DataTable[[#This Row],[explanation2]]="BR",1,0))))</f>
        <v>0</v>
      </c>
      <c r="Z96" s="18">
        <f>IF(DataTable[[#This Row],[explanation1]]="BL",1,IF(DataTable[[#This Row],[explanation2]]="BL",1,0))</f>
        <v>0</v>
      </c>
      <c r="AA96" s="18">
        <f>IF(DataTable[[#This Row],[explanation1]]="WJ",1,IF(DataTable[[#This Row],[explanation2]]="WJ",1,0))</f>
        <v>0</v>
      </c>
      <c r="AB96" s="18">
        <f>IF(DataTable[[#This Row],[explanation1]]="U",1,IF(DataTable[[#This Row],[explanation2]]="U",1,0))</f>
        <v>0</v>
      </c>
      <c r="AC96" s="18">
        <f>IF(DataTable[[#This Row],[explanation1]]="O",1,IF(DataTable[[#This Row],[explanation2]]="O",1,0))</f>
        <v>0</v>
      </c>
      <c r="AD96" s="18">
        <f>IF(DataTable[[#This Row],[explanation1]]="TP",1,IF(DataTable[[#This Row],[explanation2]]="TP",1,0))</f>
        <v>0</v>
      </c>
      <c r="AE96" s="18">
        <f>IF(DataTable[[#This Row],[explanation1]]="WP",1,IF(DataTable[[#This Row],[explanation2]]="WP",1,0))</f>
        <v>1</v>
      </c>
      <c r="AF96" s="18">
        <f>IF(DataTable[[#This Row],[explanation1]]="BR",1,IF(DataTable[[#This Row],[explanation2]]="BR",1,0))</f>
        <v>0</v>
      </c>
      <c r="AG96" s="18">
        <f>IF(DataTable[[#This Row],[explanation1]]="LS",1,IF(DataTable[[#This Row],[explanation2]]="LS",1,0))</f>
        <v>0</v>
      </c>
      <c r="AH96" s="29" t="s">
        <v>187</v>
      </c>
    </row>
    <row r="97" spans="1:34" x14ac:dyDescent="0.2">
      <c r="A97" s="13">
        <v>95</v>
      </c>
      <c r="B97" s="14" t="s">
        <v>64</v>
      </c>
      <c r="C97" s="15" t="s">
        <v>74</v>
      </c>
      <c r="D97" s="16">
        <v>1</v>
      </c>
      <c r="E97" s="14" t="s">
        <v>58</v>
      </c>
      <c r="F97" s="16">
        <v>65</v>
      </c>
      <c r="G97" s="14" t="s">
        <v>47</v>
      </c>
      <c r="H97" s="15" t="s">
        <v>48</v>
      </c>
      <c r="I97" s="16" t="str">
        <f t="shared" si="1"/>
        <v>R</v>
      </c>
      <c r="J97" s="14" t="s">
        <v>78</v>
      </c>
      <c r="K97" s="16" t="s">
        <v>78</v>
      </c>
      <c r="L97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97" s="15">
        <f>IF(DataTable[[#This Row],[3x head (H)/tail (T)?]]=DataTable[[#This Row],[then 4th: H/T/B/0]],1,0)</f>
        <v>1</v>
      </c>
      <c r="N97" s="15">
        <f>IF(DataTable[[#This Row],[then 4th: H/T/B/0]]="B",1,0)</f>
        <v>0</v>
      </c>
      <c r="O97" s="14" t="s">
        <v>145</v>
      </c>
      <c r="P97" s="15">
        <v>21</v>
      </c>
      <c r="Q97" s="17" t="s">
        <v>409</v>
      </c>
      <c r="R97" s="16" t="s">
        <v>53</v>
      </c>
      <c r="S97" s="18" t="s">
        <v>65</v>
      </c>
      <c r="T97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97" s="19" t="s">
        <v>95</v>
      </c>
      <c r="V97" s="20" t="s">
        <v>7</v>
      </c>
      <c r="W97" s="20"/>
      <c r="X97" s="18"/>
      <c r="Y97" s="18">
        <f>IF(DataTable[[#This Row],[explanation1]]="BL",1,IF(DataTable[[#This Row],[explanation2]]="BL",1,IF(DataTable[[#This Row],[explanation1]]="BR",1,IF(DataTable[[#This Row],[explanation2]]="BR",1,0))))</f>
        <v>0</v>
      </c>
      <c r="Z97" s="18">
        <f>IF(DataTable[[#This Row],[explanation1]]="BL",1,IF(DataTable[[#This Row],[explanation2]]="BL",1,0))</f>
        <v>0</v>
      </c>
      <c r="AA97" s="18">
        <f>IF(DataTable[[#This Row],[explanation1]]="WJ",1,IF(DataTable[[#This Row],[explanation2]]="WJ",1,0))</f>
        <v>1</v>
      </c>
      <c r="AB97" s="18">
        <f>IF(DataTable[[#This Row],[explanation1]]="U",1,IF(DataTable[[#This Row],[explanation2]]="U",1,0))</f>
        <v>0</v>
      </c>
      <c r="AC97" s="18">
        <f>IF(DataTable[[#This Row],[explanation1]]="O",1,IF(DataTable[[#This Row],[explanation2]]="O",1,0))</f>
        <v>0</v>
      </c>
      <c r="AD97" s="18">
        <f>IF(DataTable[[#This Row],[explanation1]]="TP",1,IF(DataTable[[#This Row],[explanation2]]="TP",1,0))</f>
        <v>0</v>
      </c>
      <c r="AE97" s="18">
        <f>IF(DataTable[[#This Row],[explanation1]]="WP",1,IF(DataTable[[#This Row],[explanation2]]="WP",1,0))</f>
        <v>0</v>
      </c>
      <c r="AF97" s="18">
        <f>IF(DataTable[[#This Row],[explanation1]]="BR",1,IF(DataTable[[#This Row],[explanation2]]="BR",1,0))</f>
        <v>0</v>
      </c>
      <c r="AG97" s="18">
        <f>IF(DataTable[[#This Row],[explanation1]]="LS",1,IF(DataTable[[#This Row],[explanation2]]="LS",1,0))</f>
        <v>0</v>
      </c>
      <c r="AH97" s="20" t="s">
        <v>7</v>
      </c>
    </row>
    <row r="98" spans="1:34" x14ac:dyDescent="0.2">
      <c r="A98" s="22">
        <v>96</v>
      </c>
      <c r="B98" s="23" t="s">
        <v>64</v>
      </c>
      <c r="C98" s="24" t="s">
        <v>74</v>
      </c>
      <c r="D98" s="25">
        <v>1</v>
      </c>
      <c r="E98" s="23" t="s">
        <v>46</v>
      </c>
      <c r="F98" s="25">
        <v>32</v>
      </c>
      <c r="G98" s="23" t="s">
        <v>47</v>
      </c>
      <c r="H98" s="24" t="s">
        <v>48</v>
      </c>
      <c r="I98" s="25" t="str">
        <f t="shared" si="1"/>
        <v>R</v>
      </c>
      <c r="J98" s="23" t="s">
        <v>78</v>
      </c>
      <c r="K98" s="25" t="s">
        <v>50</v>
      </c>
      <c r="L98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98" s="24">
        <f>IF(DataTable[[#This Row],[3x head (H)/tail (T)?]]=DataTable[[#This Row],[then 4th: H/T/B/0]],1,0)</f>
        <v>0</v>
      </c>
      <c r="N98" s="24">
        <f>IF(DataTable[[#This Row],[then 4th: H/T/B/0]]="B",1,0)</f>
        <v>1</v>
      </c>
      <c r="O98" s="23" t="s">
        <v>145</v>
      </c>
      <c r="P98" s="24">
        <v>21</v>
      </c>
      <c r="Q98" s="26" t="s">
        <v>409</v>
      </c>
      <c r="R98" s="25" t="s">
        <v>53</v>
      </c>
      <c r="S98" s="27" t="s">
        <v>75</v>
      </c>
      <c r="T98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98" s="28" t="s">
        <v>76</v>
      </c>
      <c r="V98" s="29" t="s">
        <v>11</v>
      </c>
      <c r="W98" s="29" t="s">
        <v>12</v>
      </c>
      <c r="X98" s="27"/>
      <c r="Y98" s="27">
        <f>IF(DataTable[[#This Row],[explanation1]]="BL",1,IF(DataTable[[#This Row],[explanation2]]="BL",1,IF(DataTable[[#This Row],[explanation1]]="BR",1,IF(DataTable[[#This Row],[explanation2]]="BR",1,0))))</f>
        <v>1</v>
      </c>
      <c r="Z98" s="18">
        <f>IF(DataTable[[#This Row],[explanation1]]="BL",1,IF(DataTable[[#This Row],[explanation2]]="BL",1,0))</f>
        <v>0</v>
      </c>
      <c r="AA98" s="18">
        <f>IF(DataTable[[#This Row],[explanation1]]="WJ",1,IF(DataTable[[#This Row],[explanation2]]="WJ",1,0))</f>
        <v>0</v>
      </c>
      <c r="AB98" s="18">
        <f>IF(DataTable[[#This Row],[explanation1]]="U",1,IF(DataTable[[#This Row],[explanation2]]="U",1,0))</f>
        <v>0</v>
      </c>
      <c r="AC98" s="18">
        <f>IF(DataTable[[#This Row],[explanation1]]="O",1,IF(DataTable[[#This Row],[explanation2]]="O",1,0))</f>
        <v>0</v>
      </c>
      <c r="AD98" s="18">
        <f>IF(DataTable[[#This Row],[explanation1]]="TP",1,IF(DataTable[[#This Row],[explanation2]]="TP",1,0))</f>
        <v>0</v>
      </c>
      <c r="AE98" s="18">
        <f>IF(DataTable[[#This Row],[explanation1]]="WP",1,IF(DataTable[[#This Row],[explanation2]]="WP",1,0))</f>
        <v>1</v>
      </c>
      <c r="AF98" s="18">
        <f>IF(DataTable[[#This Row],[explanation1]]="BR",1,IF(DataTable[[#This Row],[explanation2]]="BR",1,0))</f>
        <v>1</v>
      </c>
      <c r="AG98" s="18">
        <f>IF(DataTable[[#This Row],[explanation1]]="LS",1,IF(DataTable[[#This Row],[explanation2]]="LS",1,0))</f>
        <v>0</v>
      </c>
      <c r="AH98" s="29" t="s">
        <v>188</v>
      </c>
    </row>
    <row r="99" spans="1:34" x14ac:dyDescent="0.2">
      <c r="A99" s="13">
        <v>97</v>
      </c>
      <c r="B99" s="14" t="s">
        <v>64</v>
      </c>
      <c r="C99" s="15" t="s">
        <v>45</v>
      </c>
      <c r="D99" s="16">
        <v>50</v>
      </c>
      <c r="E99" s="14" t="s">
        <v>46</v>
      </c>
      <c r="F99" s="16">
        <v>25</v>
      </c>
      <c r="G99" s="14" t="s">
        <v>47</v>
      </c>
      <c r="H99" s="15" t="s">
        <v>81</v>
      </c>
      <c r="I99" s="16" t="str">
        <f t="shared" si="1"/>
        <v>M1</v>
      </c>
      <c r="J99" s="14" t="s">
        <v>49</v>
      </c>
      <c r="K99" s="16" t="s">
        <v>50</v>
      </c>
      <c r="L99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99" s="15">
        <f>IF(DataTable[[#This Row],[3x head (H)/tail (T)?]]=DataTable[[#This Row],[then 4th: H/T/B/0]],1,0)</f>
        <v>0</v>
      </c>
      <c r="N99" s="15">
        <f>IF(DataTable[[#This Row],[then 4th: H/T/B/0]]="B",1,0)</f>
        <v>1</v>
      </c>
      <c r="O99" s="14" t="s">
        <v>145</v>
      </c>
      <c r="P99" s="15">
        <v>21</v>
      </c>
      <c r="Q99" s="17" t="s">
        <v>409</v>
      </c>
      <c r="R99" s="16" t="s">
        <v>53</v>
      </c>
      <c r="S99" s="18" t="s">
        <v>54</v>
      </c>
      <c r="T99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99" s="19" t="s">
        <v>55</v>
      </c>
      <c r="V99" s="32" t="s">
        <v>12</v>
      </c>
      <c r="W99" s="20" t="s">
        <v>10</v>
      </c>
      <c r="X99" s="18"/>
      <c r="Y99" s="18">
        <f>IF(DataTable[[#This Row],[explanation1]]="BL",1,IF(DataTable[[#This Row],[explanation2]]="BL",1,IF(DataTable[[#This Row],[explanation1]]="BR",1,IF(DataTable[[#This Row],[explanation2]]="BR",1,0))))</f>
        <v>1</v>
      </c>
      <c r="Z99" s="18">
        <f>IF(DataTable[[#This Row],[explanation1]]="BL",1,IF(DataTable[[#This Row],[explanation2]]="BL",1,0))</f>
        <v>0</v>
      </c>
      <c r="AA99" s="18">
        <f>IF(DataTable[[#This Row],[explanation1]]="WJ",1,IF(DataTable[[#This Row],[explanation2]]="WJ",1,0))</f>
        <v>0</v>
      </c>
      <c r="AB99" s="18">
        <f>IF(DataTable[[#This Row],[explanation1]]="U",1,IF(DataTable[[#This Row],[explanation2]]="U",1,0))</f>
        <v>0</v>
      </c>
      <c r="AC99" s="18">
        <f>IF(DataTable[[#This Row],[explanation1]]="O",1,IF(DataTable[[#This Row],[explanation2]]="O",1,0))</f>
        <v>0</v>
      </c>
      <c r="AD99" s="18">
        <f>IF(DataTable[[#This Row],[explanation1]]="TP",1,IF(DataTable[[#This Row],[explanation2]]="TP",1,0))</f>
        <v>1</v>
      </c>
      <c r="AE99" s="18">
        <f>IF(DataTable[[#This Row],[explanation1]]="WP",1,IF(DataTable[[#This Row],[explanation2]]="WP",1,0))</f>
        <v>0</v>
      </c>
      <c r="AF99" s="18">
        <f>IF(DataTable[[#This Row],[explanation1]]="BR",1,IF(DataTable[[#This Row],[explanation2]]="BR",1,0))</f>
        <v>1</v>
      </c>
      <c r="AG99" s="18">
        <f>IF(DataTable[[#This Row],[explanation1]]="LS",1,IF(DataTable[[#This Row],[explanation2]]="LS",1,0))</f>
        <v>0</v>
      </c>
      <c r="AH99" s="20" t="s">
        <v>189</v>
      </c>
    </row>
    <row r="100" spans="1:34" x14ac:dyDescent="0.2">
      <c r="A100" s="22">
        <v>98</v>
      </c>
      <c r="B100" s="23" t="s">
        <v>60</v>
      </c>
      <c r="C100" s="24" t="s">
        <v>45</v>
      </c>
      <c r="D100" s="25">
        <v>1</v>
      </c>
      <c r="E100" s="23" t="s">
        <v>46</v>
      </c>
      <c r="F100" s="25">
        <v>32</v>
      </c>
      <c r="G100" s="23" t="s">
        <v>47</v>
      </c>
      <c r="H100" s="24" t="s">
        <v>48</v>
      </c>
      <c r="I100" s="25" t="str">
        <f t="shared" si="1"/>
        <v>R</v>
      </c>
      <c r="J100" s="23" t="s">
        <v>49</v>
      </c>
      <c r="K100" s="25" t="s">
        <v>50</v>
      </c>
      <c r="L100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00" s="24">
        <f>IF(DataTable[[#This Row],[3x head (H)/tail (T)?]]=DataTable[[#This Row],[then 4th: H/T/B/0]],1,0)</f>
        <v>0</v>
      </c>
      <c r="N100" s="24">
        <f>IF(DataTable[[#This Row],[then 4th: H/T/B/0]]="B",1,0)</f>
        <v>1</v>
      </c>
      <c r="O100" s="23" t="s">
        <v>145</v>
      </c>
      <c r="P100" s="24">
        <v>21</v>
      </c>
      <c r="Q100" s="26" t="s">
        <v>409</v>
      </c>
      <c r="R100" s="25" t="s">
        <v>53</v>
      </c>
      <c r="S100" s="27" t="s">
        <v>65</v>
      </c>
      <c r="T100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100" s="28" t="s">
        <v>190</v>
      </c>
      <c r="V100" s="29" t="s">
        <v>6</v>
      </c>
      <c r="W100" s="29"/>
      <c r="X100" s="27"/>
      <c r="Y100" s="27">
        <f>IF(DataTable[[#This Row],[explanation1]]="BL",1,IF(DataTable[[#This Row],[explanation2]]="BL",1,IF(DataTable[[#This Row],[explanation1]]="BR",1,IF(DataTable[[#This Row],[explanation2]]="BR",1,0))))</f>
        <v>1</v>
      </c>
      <c r="Z100" s="18">
        <f>IF(DataTable[[#This Row],[explanation1]]="BL",1,IF(DataTable[[#This Row],[explanation2]]="BL",1,0))</f>
        <v>1</v>
      </c>
      <c r="AA100" s="18">
        <f>IF(DataTable[[#This Row],[explanation1]]="WJ",1,IF(DataTable[[#This Row],[explanation2]]="WJ",1,0))</f>
        <v>0</v>
      </c>
      <c r="AB100" s="18">
        <f>IF(DataTable[[#This Row],[explanation1]]="U",1,IF(DataTable[[#This Row],[explanation2]]="U",1,0))</f>
        <v>0</v>
      </c>
      <c r="AC100" s="18">
        <f>IF(DataTable[[#This Row],[explanation1]]="O",1,IF(DataTable[[#This Row],[explanation2]]="O",1,0))</f>
        <v>0</v>
      </c>
      <c r="AD100" s="18">
        <f>IF(DataTable[[#This Row],[explanation1]]="TP",1,IF(DataTable[[#This Row],[explanation2]]="TP",1,0))</f>
        <v>0</v>
      </c>
      <c r="AE100" s="18">
        <f>IF(DataTable[[#This Row],[explanation1]]="WP",1,IF(DataTable[[#This Row],[explanation2]]="WP",1,0))</f>
        <v>0</v>
      </c>
      <c r="AF100" s="18">
        <f>IF(DataTable[[#This Row],[explanation1]]="BR",1,IF(DataTable[[#This Row],[explanation2]]="BR",1,0))</f>
        <v>0</v>
      </c>
      <c r="AG100" s="18">
        <f>IF(DataTable[[#This Row],[explanation1]]="LS",1,IF(DataTable[[#This Row],[explanation2]]="LS",1,0))</f>
        <v>0</v>
      </c>
      <c r="AH100" s="29" t="s">
        <v>191</v>
      </c>
    </row>
    <row r="101" spans="1:34" x14ac:dyDescent="0.2">
      <c r="A101" s="13">
        <v>99</v>
      </c>
      <c r="B101" s="14" t="s">
        <v>60</v>
      </c>
      <c r="C101" s="15" t="s">
        <v>45</v>
      </c>
      <c r="D101" s="16">
        <v>1</v>
      </c>
      <c r="E101" s="14" t="s">
        <v>46</v>
      </c>
      <c r="F101" s="16">
        <v>36</v>
      </c>
      <c r="G101" s="14" t="s">
        <v>47</v>
      </c>
      <c r="H101" s="15" t="s">
        <v>48</v>
      </c>
      <c r="I101" s="16" t="str">
        <f t="shared" si="1"/>
        <v>R</v>
      </c>
      <c r="J101" s="14" t="s">
        <v>49</v>
      </c>
      <c r="K101" s="16" t="s">
        <v>78</v>
      </c>
      <c r="L101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101" s="15">
        <f>IF(DataTable[[#This Row],[3x head (H)/tail (T)?]]=DataTable[[#This Row],[then 4th: H/T/B/0]],1,0)</f>
        <v>0</v>
      </c>
      <c r="N101" s="15">
        <f>IF(DataTable[[#This Row],[then 4th: H/T/B/0]]="B",1,0)</f>
        <v>0</v>
      </c>
      <c r="O101" s="14" t="s">
        <v>145</v>
      </c>
      <c r="P101" s="15">
        <v>21</v>
      </c>
      <c r="Q101" s="17" t="s">
        <v>409</v>
      </c>
      <c r="R101" s="16" t="s">
        <v>53</v>
      </c>
      <c r="S101" s="18" t="s">
        <v>54</v>
      </c>
      <c r="T101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101" s="19" t="s">
        <v>55</v>
      </c>
      <c r="V101" s="20" t="s">
        <v>6</v>
      </c>
      <c r="W101" s="20" t="s">
        <v>12</v>
      </c>
      <c r="X101" s="18"/>
      <c r="Y101" s="18">
        <f>IF(DataTable[[#This Row],[explanation1]]="BL",1,IF(DataTable[[#This Row],[explanation2]]="BL",1,IF(DataTable[[#This Row],[explanation1]]="BR",1,IF(DataTable[[#This Row],[explanation2]]="BR",1,0))))</f>
        <v>1</v>
      </c>
      <c r="Z101" s="18">
        <f>IF(DataTable[[#This Row],[explanation1]]="BL",1,IF(DataTable[[#This Row],[explanation2]]="BL",1,0))</f>
        <v>1</v>
      </c>
      <c r="AA101" s="18">
        <f>IF(DataTable[[#This Row],[explanation1]]="WJ",1,IF(DataTable[[#This Row],[explanation2]]="WJ",1,0))</f>
        <v>0</v>
      </c>
      <c r="AB101" s="18">
        <f>IF(DataTable[[#This Row],[explanation1]]="U",1,IF(DataTable[[#This Row],[explanation2]]="U",1,0))</f>
        <v>0</v>
      </c>
      <c r="AC101" s="18">
        <f>IF(DataTable[[#This Row],[explanation1]]="O",1,IF(DataTable[[#This Row],[explanation2]]="O",1,0))</f>
        <v>0</v>
      </c>
      <c r="AD101" s="18">
        <f>IF(DataTable[[#This Row],[explanation1]]="TP",1,IF(DataTable[[#This Row],[explanation2]]="TP",1,0))</f>
        <v>0</v>
      </c>
      <c r="AE101" s="18">
        <f>IF(DataTable[[#This Row],[explanation1]]="WP",1,IF(DataTable[[#This Row],[explanation2]]="WP",1,0))</f>
        <v>0</v>
      </c>
      <c r="AF101" s="18">
        <f>IF(DataTable[[#This Row],[explanation1]]="BR",1,IF(DataTable[[#This Row],[explanation2]]="BR",1,0))</f>
        <v>1</v>
      </c>
      <c r="AG101" s="18">
        <f>IF(DataTable[[#This Row],[explanation1]]="LS",1,IF(DataTable[[#This Row],[explanation2]]="LS",1,0))</f>
        <v>0</v>
      </c>
      <c r="AH101" s="20" t="s">
        <v>178</v>
      </c>
    </row>
    <row r="102" spans="1:34" x14ac:dyDescent="0.2">
      <c r="A102" s="22">
        <v>100</v>
      </c>
      <c r="B102" s="23" t="s">
        <v>60</v>
      </c>
      <c r="C102" s="24" t="s">
        <v>45</v>
      </c>
      <c r="D102" s="25">
        <v>1</v>
      </c>
      <c r="E102" s="23" t="s">
        <v>46</v>
      </c>
      <c r="F102" s="25">
        <v>32</v>
      </c>
      <c r="G102" s="23" t="s">
        <v>60</v>
      </c>
      <c r="H102" s="24" t="s">
        <v>48</v>
      </c>
      <c r="I102" s="25" t="str">
        <f t="shared" si="1"/>
        <v>L5</v>
      </c>
      <c r="J102" s="23" t="s">
        <v>49</v>
      </c>
      <c r="K102" s="25" t="s">
        <v>50</v>
      </c>
      <c r="L102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02" s="24">
        <f>IF(DataTable[[#This Row],[3x head (H)/tail (T)?]]=DataTable[[#This Row],[then 4th: H/T/B/0]],1,0)</f>
        <v>0</v>
      </c>
      <c r="N102" s="24">
        <f>IF(DataTable[[#This Row],[then 4th: H/T/B/0]]="B",1,0)</f>
        <v>1</v>
      </c>
      <c r="O102" s="23" t="s">
        <v>145</v>
      </c>
      <c r="P102" s="24">
        <v>21</v>
      </c>
      <c r="Q102" s="26" t="s">
        <v>409</v>
      </c>
      <c r="R102" s="25" t="s">
        <v>53</v>
      </c>
      <c r="S102" s="27" t="s">
        <v>54</v>
      </c>
      <c r="T102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102" s="28" t="s">
        <v>192</v>
      </c>
      <c r="V102" s="29" t="s">
        <v>13</v>
      </c>
      <c r="W102" s="29" t="s">
        <v>8</v>
      </c>
      <c r="X102" s="27" t="s">
        <v>158</v>
      </c>
      <c r="Y102" s="27">
        <f>IF(DataTable[[#This Row],[explanation1]]="BL",1,IF(DataTable[[#This Row],[explanation2]]="BL",1,IF(DataTable[[#This Row],[explanation1]]="BR",1,IF(DataTable[[#This Row],[explanation2]]="BR",1,0))))</f>
        <v>0</v>
      </c>
      <c r="Z102" s="18">
        <f>IF(DataTable[[#This Row],[explanation1]]="BL",1,IF(DataTable[[#This Row],[explanation2]]="BL",1,0))</f>
        <v>0</v>
      </c>
      <c r="AA102" s="18">
        <f>IF(DataTable[[#This Row],[explanation1]]="WJ",1,IF(DataTable[[#This Row],[explanation2]]="WJ",1,0))</f>
        <v>0</v>
      </c>
      <c r="AB102" s="18">
        <f>IF(DataTable[[#This Row],[explanation1]]="U",1,IF(DataTable[[#This Row],[explanation2]]="U",1,0))</f>
        <v>1</v>
      </c>
      <c r="AC102" s="18">
        <f>IF(DataTable[[#This Row],[explanation1]]="O",1,IF(DataTable[[#This Row],[explanation2]]="O",1,0))</f>
        <v>0</v>
      </c>
      <c r="AD102" s="18">
        <f>IF(DataTable[[#This Row],[explanation1]]="TP",1,IF(DataTable[[#This Row],[explanation2]]="TP",1,0))</f>
        <v>0</v>
      </c>
      <c r="AE102" s="18">
        <f>IF(DataTable[[#This Row],[explanation1]]="WP",1,IF(DataTable[[#This Row],[explanation2]]="WP",1,0))</f>
        <v>0</v>
      </c>
      <c r="AF102" s="18">
        <f>IF(DataTable[[#This Row],[explanation1]]="BR",1,IF(DataTable[[#This Row],[explanation2]]="BR",1,0))</f>
        <v>0</v>
      </c>
      <c r="AG102" s="18">
        <f>IF(DataTable[[#This Row],[explanation1]]="LS",1,IF(DataTable[[#This Row],[explanation2]]="LS",1,0))</f>
        <v>1</v>
      </c>
      <c r="AH102" s="29" t="s">
        <v>193</v>
      </c>
    </row>
    <row r="103" spans="1:34" x14ac:dyDescent="0.2">
      <c r="A103" s="13">
        <v>101</v>
      </c>
      <c r="B103" s="14" t="s">
        <v>60</v>
      </c>
      <c r="C103" s="15" t="s">
        <v>45</v>
      </c>
      <c r="D103" s="16">
        <v>1</v>
      </c>
      <c r="E103" s="14" t="s">
        <v>46</v>
      </c>
      <c r="F103" s="16">
        <v>26</v>
      </c>
      <c r="G103" s="14" t="s">
        <v>47</v>
      </c>
      <c r="H103" s="15" t="s">
        <v>48</v>
      </c>
      <c r="I103" s="16" t="str">
        <f t="shared" si="1"/>
        <v>R</v>
      </c>
      <c r="J103" s="14" t="s">
        <v>49</v>
      </c>
      <c r="K103" s="16" t="s">
        <v>49</v>
      </c>
      <c r="L103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03" s="15">
        <f>IF(DataTable[[#This Row],[3x head (H)/tail (T)?]]=DataTable[[#This Row],[then 4th: H/T/B/0]],1,0)</f>
        <v>1</v>
      </c>
      <c r="N103" s="15">
        <f>IF(DataTable[[#This Row],[then 4th: H/T/B/0]]="B",1,0)</f>
        <v>0</v>
      </c>
      <c r="O103" s="14" t="s">
        <v>145</v>
      </c>
      <c r="P103" s="15">
        <v>21</v>
      </c>
      <c r="Q103" s="17" t="s">
        <v>409</v>
      </c>
      <c r="R103" s="16" t="s">
        <v>53</v>
      </c>
      <c r="S103" s="18" t="s">
        <v>65</v>
      </c>
      <c r="T103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103" s="19" t="s">
        <v>194</v>
      </c>
      <c r="V103" s="20" t="s">
        <v>11</v>
      </c>
      <c r="W103" s="20" t="s">
        <v>12</v>
      </c>
      <c r="X103" s="18"/>
      <c r="Y103" s="18">
        <f>IF(DataTable[[#This Row],[explanation1]]="BL",1,IF(DataTable[[#This Row],[explanation2]]="BL",1,IF(DataTable[[#This Row],[explanation1]]="BR",1,IF(DataTable[[#This Row],[explanation2]]="BR",1,0))))</f>
        <v>1</v>
      </c>
      <c r="Z103" s="18">
        <f>IF(DataTable[[#This Row],[explanation1]]="BL",1,IF(DataTable[[#This Row],[explanation2]]="BL",1,0))</f>
        <v>0</v>
      </c>
      <c r="AA103" s="18">
        <f>IF(DataTable[[#This Row],[explanation1]]="WJ",1,IF(DataTable[[#This Row],[explanation2]]="WJ",1,0))</f>
        <v>0</v>
      </c>
      <c r="AB103" s="18">
        <f>IF(DataTable[[#This Row],[explanation1]]="U",1,IF(DataTable[[#This Row],[explanation2]]="U",1,0))</f>
        <v>0</v>
      </c>
      <c r="AC103" s="18">
        <f>IF(DataTable[[#This Row],[explanation1]]="O",1,IF(DataTable[[#This Row],[explanation2]]="O",1,0))</f>
        <v>0</v>
      </c>
      <c r="AD103" s="18">
        <f>IF(DataTable[[#This Row],[explanation1]]="TP",1,IF(DataTable[[#This Row],[explanation2]]="TP",1,0))</f>
        <v>0</v>
      </c>
      <c r="AE103" s="18">
        <f>IF(DataTable[[#This Row],[explanation1]]="WP",1,IF(DataTable[[#This Row],[explanation2]]="WP",1,0))</f>
        <v>1</v>
      </c>
      <c r="AF103" s="18">
        <f>IF(DataTable[[#This Row],[explanation1]]="BR",1,IF(DataTable[[#This Row],[explanation2]]="BR",1,0))</f>
        <v>1</v>
      </c>
      <c r="AG103" s="18">
        <f>IF(DataTable[[#This Row],[explanation1]]="LS",1,IF(DataTable[[#This Row],[explanation2]]="LS",1,0))</f>
        <v>0</v>
      </c>
      <c r="AH103" s="20" t="s">
        <v>195</v>
      </c>
    </row>
    <row r="104" spans="1:34" x14ac:dyDescent="0.2">
      <c r="A104" s="22">
        <v>102</v>
      </c>
      <c r="B104" s="23" t="s">
        <v>60</v>
      </c>
      <c r="C104" s="24" t="s">
        <v>45</v>
      </c>
      <c r="D104" s="25">
        <v>1</v>
      </c>
      <c r="E104" s="23" t="s">
        <v>46</v>
      </c>
      <c r="F104" s="25">
        <v>39</v>
      </c>
      <c r="G104" s="23" t="s">
        <v>60</v>
      </c>
      <c r="H104" s="24" t="s">
        <v>81</v>
      </c>
      <c r="I104" s="25" t="str">
        <f t="shared" si="1"/>
        <v>R</v>
      </c>
      <c r="J104" s="23" t="s">
        <v>49</v>
      </c>
      <c r="K104" s="25" t="s">
        <v>50</v>
      </c>
      <c r="L104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04" s="24">
        <f>IF(DataTable[[#This Row],[3x head (H)/tail (T)?]]=DataTable[[#This Row],[then 4th: H/T/B/0]],1,0)</f>
        <v>0</v>
      </c>
      <c r="N104" s="24">
        <f>IF(DataTable[[#This Row],[then 4th: H/T/B/0]]="B",1,0)</f>
        <v>1</v>
      </c>
      <c r="O104" s="23" t="s">
        <v>145</v>
      </c>
      <c r="P104" s="24">
        <v>21</v>
      </c>
      <c r="Q104" s="26" t="s">
        <v>409</v>
      </c>
      <c r="R104" s="25" t="s">
        <v>53</v>
      </c>
      <c r="S104" s="27" t="s">
        <v>75</v>
      </c>
      <c r="T104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104" s="28" t="s">
        <v>76</v>
      </c>
      <c r="V104" s="29" t="s">
        <v>13</v>
      </c>
      <c r="W104" s="29" t="s">
        <v>10</v>
      </c>
      <c r="X104" s="27"/>
      <c r="Y104" s="27">
        <f>IF(DataTable[[#This Row],[explanation1]]="BL",1,IF(DataTable[[#This Row],[explanation2]]="BL",1,IF(DataTable[[#This Row],[explanation1]]="BR",1,IF(DataTable[[#This Row],[explanation2]]="BR",1,0))))</f>
        <v>0</v>
      </c>
      <c r="Z104" s="18">
        <f>IF(DataTable[[#This Row],[explanation1]]="BL",1,IF(DataTable[[#This Row],[explanation2]]="BL",1,0))</f>
        <v>0</v>
      </c>
      <c r="AA104" s="18">
        <f>IF(DataTable[[#This Row],[explanation1]]="WJ",1,IF(DataTable[[#This Row],[explanation2]]="WJ",1,0))</f>
        <v>0</v>
      </c>
      <c r="AB104" s="18">
        <f>IF(DataTable[[#This Row],[explanation1]]="U",1,IF(DataTable[[#This Row],[explanation2]]="U",1,0))</f>
        <v>0</v>
      </c>
      <c r="AC104" s="18">
        <f>IF(DataTable[[#This Row],[explanation1]]="O",1,IF(DataTable[[#This Row],[explanation2]]="O",1,0))</f>
        <v>0</v>
      </c>
      <c r="AD104" s="18">
        <f>IF(DataTable[[#This Row],[explanation1]]="TP",1,IF(DataTable[[#This Row],[explanation2]]="TP",1,0))</f>
        <v>1</v>
      </c>
      <c r="AE104" s="18">
        <f>IF(DataTable[[#This Row],[explanation1]]="WP",1,IF(DataTable[[#This Row],[explanation2]]="WP",1,0))</f>
        <v>0</v>
      </c>
      <c r="AF104" s="18">
        <f>IF(DataTable[[#This Row],[explanation1]]="BR",1,IF(DataTable[[#This Row],[explanation2]]="BR",1,0))</f>
        <v>0</v>
      </c>
      <c r="AG104" s="18">
        <f>IF(DataTable[[#This Row],[explanation1]]="LS",1,IF(DataTable[[#This Row],[explanation2]]="LS",1,0))</f>
        <v>1</v>
      </c>
      <c r="AH104" s="29" t="s">
        <v>196</v>
      </c>
    </row>
    <row r="105" spans="1:34" x14ac:dyDescent="0.2">
      <c r="A105" s="13">
        <v>103</v>
      </c>
      <c r="B105" s="14" t="s">
        <v>60</v>
      </c>
      <c r="C105" s="15" t="s">
        <v>45</v>
      </c>
      <c r="D105" s="16">
        <v>1</v>
      </c>
      <c r="E105" s="14" t="s">
        <v>46</v>
      </c>
      <c r="F105" s="16">
        <v>28</v>
      </c>
      <c r="G105" s="14" t="s">
        <v>47</v>
      </c>
      <c r="H105" s="15" t="s">
        <v>48</v>
      </c>
      <c r="I105" s="16" t="str">
        <f t="shared" si="1"/>
        <v>R</v>
      </c>
      <c r="J105" s="14" t="s">
        <v>49</v>
      </c>
      <c r="K105" s="16" t="s">
        <v>49</v>
      </c>
      <c r="L105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05" s="15">
        <f>IF(DataTable[[#This Row],[3x head (H)/tail (T)?]]=DataTable[[#This Row],[then 4th: H/T/B/0]],1,0)</f>
        <v>1</v>
      </c>
      <c r="N105" s="15">
        <f>IF(DataTable[[#This Row],[then 4th: H/T/B/0]]="B",1,0)</f>
        <v>0</v>
      </c>
      <c r="O105" s="14" t="s">
        <v>145</v>
      </c>
      <c r="P105" s="15">
        <v>21</v>
      </c>
      <c r="Q105" s="17" t="s">
        <v>409</v>
      </c>
      <c r="R105" s="16" t="s">
        <v>53</v>
      </c>
      <c r="S105" s="18" t="s">
        <v>75</v>
      </c>
      <c r="T105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105" s="19" t="s">
        <v>76</v>
      </c>
      <c r="V105" s="20" t="s">
        <v>6</v>
      </c>
      <c r="W105" s="20"/>
      <c r="X105" s="18"/>
      <c r="Y105" s="18">
        <f>IF(DataTable[[#This Row],[explanation1]]="BL",1,IF(DataTable[[#This Row],[explanation2]]="BL",1,IF(DataTable[[#This Row],[explanation1]]="BR",1,IF(DataTable[[#This Row],[explanation2]]="BR",1,0))))</f>
        <v>1</v>
      </c>
      <c r="Z105" s="18">
        <f>IF(DataTable[[#This Row],[explanation1]]="BL",1,IF(DataTable[[#This Row],[explanation2]]="BL",1,0))</f>
        <v>1</v>
      </c>
      <c r="AA105" s="18">
        <f>IF(DataTable[[#This Row],[explanation1]]="WJ",1,IF(DataTable[[#This Row],[explanation2]]="WJ",1,0))</f>
        <v>0</v>
      </c>
      <c r="AB105" s="18">
        <f>IF(DataTable[[#This Row],[explanation1]]="U",1,IF(DataTable[[#This Row],[explanation2]]="U",1,0))</f>
        <v>0</v>
      </c>
      <c r="AC105" s="18">
        <f>IF(DataTable[[#This Row],[explanation1]]="O",1,IF(DataTable[[#This Row],[explanation2]]="O",1,0))</f>
        <v>0</v>
      </c>
      <c r="AD105" s="18">
        <f>IF(DataTable[[#This Row],[explanation1]]="TP",1,IF(DataTable[[#This Row],[explanation2]]="TP",1,0))</f>
        <v>0</v>
      </c>
      <c r="AE105" s="18">
        <f>IF(DataTable[[#This Row],[explanation1]]="WP",1,IF(DataTable[[#This Row],[explanation2]]="WP",1,0))</f>
        <v>0</v>
      </c>
      <c r="AF105" s="18">
        <f>IF(DataTable[[#This Row],[explanation1]]="BR",1,IF(DataTable[[#This Row],[explanation2]]="BR",1,0))</f>
        <v>0</v>
      </c>
      <c r="AG105" s="18">
        <f>IF(DataTable[[#This Row],[explanation1]]="LS",1,IF(DataTable[[#This Row],[explanation2]]="LS",1,0))</f>
        <v>0</v>
      </c>
      <c r="AH105" s="20" t="s">
        <v>6</v>
      </c>
    </row>
    <row r="106" spans="1:34" x14ac:dyDescent="0.2">
      <c r="A106" s="22">
        <v>104</v>
      </c>
      <c r="B106" s="23" t="s">
        <v>60</v>
      </c>
      <c r="C106" s="24" t="s">
        <v>45</v>
      </c>
      <c r="D106" s="25">
        <v>1</v>
      </c>
      <c r="E106" s="23" t="s">
        <v>46</v>
      </c>
      <c r="F106" s="25">
        <v>34</v>
      </c>
      <c r="G106" s="23" t="s">
        <v>47</v>
      </c>
      <c r="H106" s="24" t="s">
        <v>48</v>
      </c>
      <c r="I106" s="25" t="str">
        <f t="shared" si="1"/>
        <v>R</v>
      </c>
      <c r="J106" s="23" t="s">
        <v>49</v>
      </c>
      <c r="K106" s="25" t="s">
        <v>78</v>
      </c>
      <c r="L106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106" s="24">
        <f>IF(DataTable[[#This Row],[3x head (H)/tail (T)?]]=DataTable[[#This Row],[then 4th: H/T/B/0]],1,0)</f>
        <v>0</v>
      </c>
      <c r="N106" s="24">
        <f>IF(DataTable[[#This Row],[then 4th: H/T/B/0]]="B",1,0)</f>
        <v>0</v>
      </c>
      <c r="O106" s="23" t="s">
        <v>145</v>
      </c>
      <c r="P106" s="24">
        <v>21</v>
      </c>
      <c r="Q106" s="26" t="s">
        <v>409</v>
      </c>
      <c r="R106" s="25" t="s">
        <v>53</v>
      </c>
      <c r="S106" s="36" t="s">
        <v>54</v>
      </c>
      <c r="T106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106" s="28" t="s">
        <v>92</v>
      </c>
      <c r="V106" s="29" t="s">
        <v>6</v>
      </c>
      <c r="W106" s="29"/>
      <c r="X106" s="27"/>
      <c r="Y106" s="27">
        <f>IF(DataTable[[#This Row],[explanation1]]="BL",1,IF(DataTable[[#This Row],[explanation2]]="BL",1,IF(DataTable[[#This Row],[explanation1]]="BR",1,IF(DataTable[[#This Row],[explanation2]]="BR",1,0))))</f>
        <v>1</v>
      </c>
      <c r="Z106" s="18">
        <f>IF(DataTable[[#This Row],[explanation1]]="BL",1,IF(DataTable[[#This Row],[explanation2]]="BL",1,0))</f>
        <v>1</v>
      </c>
      <c r="AA106" s="18">
        <f>IF(DataTable[[#This Row],[explanation1]]="WJ",1,IF(DataTable[[#This Row],[explanation2]]="WJ",1,0))</f>
        <v>0</v>
      </c>
      <c r="AB106" s="18">
        <f>IF(DataTable[[#This Row],[explanation1]]="U",1,IF(DataTable[[#This Row],[explanation2]]="U",1,0))</f>
        <v>0</v>
      </c>
      <c r="AC106" s="18">
        <f>IF(DataTable[[#This Row],[explanation1]]="O",1,IF(DataTable[[#This Row],[explanation2]]="O",1,0))</f>
        <v>0</v>
      </c>
      <c r="AD106" s="18">
        <f>IF(DataTable[[#This Row],[explanation1]]="TP",1,IF(DataTable[[#This Row],[explanation2]]="TP",1,0))</f>
        <v>0</v>
      </c>
      <c r="AE106" s="18">
        <f>IF(DataTable[[#This Row],[explanation1]]="WP",1,IF(DataTable[[#This Row],[explanation2]]="WP",1,0))</f>
        <v>0</v>
      </c>
      <c r="AF106" s="18">
        <f>IF(DataTable[[#This Row],[explanation1]]="BR",1,IF(DataTable[[#This Row],[explanation2]]="BR",1,0))</f>
        <v>0</v>
      </c>
      <c r="AG106" s="18">
        <f>IF(DataTable[[#This Row],[explanation1]]="LS",1,IF(DataTable[[#This Row],[explanation2]]="LS",1,0))</f>
        <v>0</v>
      </c>
      <c r="AH106" s="29" t="s">
        <v>6</v>
      </c>
    </row>
    <row r="107" spans="1:34" x14ac:dyDescent="0.2">
      <c r="A107" s="13">
        <v>105</v>
      </c>
      <c r="B107" s="14" t="s">
        <v>60</v>
      </c>
      <c r="C107" s="15" t="s">
        <v>45</v>
      </c>
      <c r="D107" s="16">
        <v>1</v>
      </c>
      <c r="E107" s="14" t="s">
        <v>58</v>
      </c>
      <c r="F107" s="16">
        <v>26</v>
      </c>
      <c r="G107" s="14" t="s">
        <v>47</v>
      </c>
      <c r="H107" s="15" t="s">
        <v>81</v>
      </c>
      <c r="I107" s="16" t="str">
        <f t="shared" si="1"/>
        <v>L5</v>
      </c>
      <c r="J107" s="14" t="s">
        <v>49</v>
      </c>
      <c r="K107" s="16" t="s">
        <v>78</v>
      </c>
      <c r="L107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107" s="15">
        <f>IF(DataTable[[#This Row],[3x head (H)/tail (T)?]]=DataTable[[#This Row],[then 4th: H/T/B/0]],1,0)</f>
        <v>0</v>
      </c>
      <c r="N107" s="15">
        <f>IF(DataTable[[#This Row],[then 4th: H/T/B/0]]="B",1,0)</f>
        <v>0</v>
      </c>
      <c r="O107" s="14" t="s">
        <v>145</v>
      </c>
      <c r="P107" s="15">
        <v>21</v>
      </c>
      <c r="Q107" s="17" t="s">
        <v>409</v>
      </c>
      <c r="R107" s="16" t="s">
        <v>53</v>
      </c>
      <c r="S107" s="18" t="s">
        <v>54</v>
      </c>
      <c r="T107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107" s="19" t="s">
        <v>197</v>
      </c>
      <c r="V107" s="20" t="s">
        <v>6</v>
      </c>
      <c r="W107" s="20"/>
      <c r="X107" s="18"/>
      <c r="Y107" s="18">
        <f>IF(DataTable[[#This Row],[explanation1]]="BL",1,IF(DataTable[[#This Row],[explanation2]]="BL",1,IF(DataTable[[#This Row],[explanation1]]="BR",1,IF(DataTable[[#This Row],[explanation2]]="BR",1,0))))</f>
        <v>1</v>
      </c>
      <c r="Z107" s="18">
        <f>IF(DataTable[[#This Row],[explanation1]]="BL",1,IF(DataTable[[#This Row],[explanation2]]="BL",1,0))</f>
        <v>1</v>
      </c>
      <c r="AA107" s="18">
        <f>IF(DataTable[[#This Row],[explanation1]]="WJ",1,IF(DataTable[[#This Row],[explanation2]]="WJ",1,0))</f>
        <v>0</v>
      </c>
      <c r="AB107" s="18">
        <f>IF(DataTable[[#This Row],[explanation1]]="U",1,IF(DataTable[[#This Row],[explanation2]]="U",1,0))</f>
        <v>0</v>
      </c>
      <c r="AC107" s="18">
        <f>IF(DataTable[[#This Row],[explanation1]]="O",1,IF(DataTable[[#This Row],[explanation2]]="O",1,0))</f>
        <v>0</v>
      </c>
      <c r="AD107" s="18">
        <f>IF(DataTable[[#This Row],[explanation1]]="TP",1,IF(DataTable[[#This Row],[explanation2]]="TP",1,0))</f>
        <v>0</v>
      </c>
      <c r="AE107" s="18">
        <f>IF(DataTable[[#This Row],[explanation1]]="WP",1,IF(DataTable[[#This Row],[explanation2]]="WP",1,0))</f>
        <v>0</v>
      </c>
      <c r="AF107" s="18">
        <f>IF(DataTable[[#This Row],[explanation1]]="BR",1,IF(DataTable[[#This Row],[explanation2]]="BR",1,0))</f>
        <v>0</v>
      </c>
      <c r="AG107" s="18">
        <f>IF(DataTable[[#This Row],[explanation1]]="LS",1,IF(DataTable[[#This Row],[explanation2]]="LS",1,0))</f>
        <v>0</v>
      </c>
      <c r="AH107" s="20" t="s">
        <v>6</v>
      </c>
    </row>
    <row r="108" spans="1:34" x14ac:dyDescent="0.2">
      <c r="A108" s="22">
        <v>106</v>
      </c>
      <c r="B108" s="23" t="s">
        <v>70</v>
      </c>
      <c r="C108" s="24" t="s">
        <v>45</v>
      </c>
      <c r="D108" s="25">
        <v>50</v>
      </c>
      <c r="E108" s="23" t="s">
        <v>58</v>
      </c>
      <c r="F108" s="25">
        <v>65</v>
      </c>
      <c r="G108" s="23" t="s">
        <v>70</v>
      </c>
      <c r="H108" s="24" t="s">
        <v>48</v>
      </c>
      <c r="I108" s="25" t="str">
        <f t="shared" si="1"/>
        <v>M5</v>
      </c>
      <c r="J108" s="23" t="s">
        <v>78</v>
      </c>
      <c r="K108" s="25" t="s">
        <v>50</v>
      </c>
      <c r="L108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08" s="24">
        <f>IF(DataTable[[#This Row],[3x head (H)/tail (T)?]]=DataTable[[#This Row],[then 4th: H/T/B/0]],1,0)</f>
        <v>0</v>
      </c>
      <c r="N108" s="24">
        <f>IF(DataTable[[#This Row],[then 4th: H/T/B/0]]="B",1,0)</f>
        <v>1</v>
      </c>
      <c r="O108" s="23" t="s">
        <v>198</v>
      </c>
      <c r="P108" s="24">
        <v>14</v>
      </c>
      <c r="Q108" s="26" t="s">
        <v>410</v>
      </c>
      <c r="R108" s="25" t="s">
        <v>53</v>
      </c>
      <c r="S108" s="27" t="s">
        <v>54</v>
      </c>
      <c r="T108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108" s="28" t="s">
        <v>200</v>
      </c>
      <c r="V108" s="29" t="s">
        <v>13</v>
      </c>
      <c r="W108" s="29"/>
      <c r="X108" s="27"/>
      <c r="Y108" s="27">
        <f>IF(DataTable[[#This Row],[explanation1]]="BL",1,IF(DataTable[[#This Row],[explanation2]]="BL",1,IF(DataTable[[#This Row],[explanation1]]="BR",1,IF(DataTable[[#This Row],[explanation2]]="BR",1,0))))</f>
        <v>0</v>
      </c>
      <c r="Z108" s="18">
        <f>IF(DataTable[[#This Row],[explanation1]]="BL",1,IF(DataTable[[#This Row],[explanation2]]="BL",1,0))</f>
        <v>0</v>
      </c>
      <c r="AA108" s="18">
        <f>IF(DataTable[[#This Row],[explanation1]]="WJ",1,IF(DataTable[[#This Row],[explanation2]]="WJ",1,0))</f>
        <v>0</v>
      </c>
      <c r="AB108" s="18">
        <f>IF(DataTable[[#This Row],[explanation1]]="U",1,IF(DataTable[[#This Row],[explanation2]]="U",1,0))</f>
        <v>0</v>
      </c>
      <c r="AC108" s="18">
        <f>IF(DataTable[[#This Row],[explanation1]]="O",1,IF(DataTable[[#This Row],[explanation2]]="O",1,0))</f>
        <v>0</v>
      </c>
      <c r="AD108" s="18">
        <f>IF(DataTable[[#This Row],[explanation1]]="TP",1,IF(DataTable[[#This Row],[explanation2]]="TP",1,0))</f>
        <v>0</v>
      </c>
      <c r="AE108" s="18">
        <f>IF(DataTable[[#This Row],[explanation1]]="WP",1,IF(DataTable[[#This Row],[explanation2]]="WP",1,0))</f>
        <v>0</v>
      </c>
      <c r="AF108" s="18">
        <f>IF(DataTable[[#This Row],[explanation1]]="BR",1,IF(DataTable[[#This Row],[explanation2]]="BR",1,0))</f>
        <v>0</v>
      </c>
      <c r="AG108" s="18">
        <f>IF(DataTable[[#This Row],[explanation1]]="LS",1,IF(DataTable[[#This Row],[explanation2]]="LS",1,0))</f>
        <v>1</v>
      </c>
      <c r="AH108" s="29" t="s">
        <v>201</v>
      </c>
    </row>
    <row r="109" spans="1:34" x14ac:dyDescent="0.2">
      <c r="A109" s="13">
        <v>107</v>
      </c>
      <c r="B109" s="14" t="s">
        <v>70</v>
      </c>
      <c r="C109" s="15" t="s">
        <v>45</v>
      </c>
      <c r="D109" s="16">
        <v>50</v>
      </c>
      <c r="E109" s="14" t="s">
        <v>58</v>
      </c>
      <c r="F109" s="16">
        <v>52</v>
      </c>
      <c r="G109" s="14" t="s">
        <v>70</v>
      </c>
      <c r="H109" s="15" t="s">
        <v>48</v>
      </c>
      <c r="I109" s="16" t="str">
        <f t="shared" si="1"/>
        <v>M5</v>
      </c>
      <c r="J109" s="14" t="s">
        <v>78</v>
      </c>
      <c r="K109" s="16" t="s">
        <v>50</v>
      </c>
      <c r="L109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09" s="15">
        <f>IF(DataTable[[#This Row],[3x head (H)/tail (T)?]]=DataTable[[#This Row],[then 4th: H/T/B/0]],1,0)</f>
        <v>0</v>
      </c>
      <c r="N109" s="15">
        <f>IF(DataTable[[#This Row],[then 4th: H/T/B/0]]="B",1,0)</f>
        <v>1</v>
      </c>
      <c r="O109" s="14" t="s">
        <v>198</v>
      </c>
      <c r="P109" s="15">
        <v>14</v>
      </c>
      <c r="Q109" s="17" t="s">
        <v>410</v>
      </c>
      <c r="R109" s="16" t="s">
        <v>53</v>
      </c>
      <c r="S109" s="18" t="s">
        <v>75</v>
      </c>
      <c r="T109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109" s="19" t="s">
        <v>76</v>
      </c>
      <c r="V109" s="20" t="s">
        <v>13</v>
      </c>
      <c r="W109" s="20"/>
      <c r="X109" s="18"/>
      <c r="Y109" s="18">
        <f>IF(DataTable[[#This Row],[explanation1]]="BL",1,IF(DataTable[[#This Row],[explanation2]]="BL",1,IF(DataTable[[#This Row],[explanation1]]="BR",1,IF(DataTable[[#This Row],[explanation2]]="BR",1,0))))</f>
        <v>0</v>
      </c>
      <c r="Z109" s="18">
        <f>IF(DataTable[[#This Row],[explanation1]]="BL",1,IF(DataTable[[#This Row],[explanation2]]="BL",1,0))</f>
        <v>0</v>
      </c>
      <c r="AA109" s="18">
        <f>IF(DataTable[[#This Row],[explanation1]]="WJ",1,IF(DataTable[[#This Row],[explanation2]]="WJ",1,0))</f>
        <v>0</v>
      </c>
      <c r="AB109" s="18">
        <f>IF(DataTable[[#This Row],[explanation1]]="U",1,IF(DataTable[[#This Row],[explanation2]]="U",1,0))</f>
        <v>0</v>
      </c>
      <c r="AC109" s="18">
        <f>IF(DataTable[[#This Row],[explanation1]]="O",1,IF(DataTable[[#This Row],[explanation2]]="O",1,0))</f>
        <v>0</v>
      </c>
      <c r="AD109" s="18">
        <f>IF(DataTable[[#This Row],[explanation1]]="TP",1,IF(DataTable[[#This Row],[explanation2]]="TP",1,0))</f>
        <v>0</v>
      </c>
      <c r="AE109" s="18">
        <f>IF(DataTable[[#This Row],[explanation1]]="WP",1,IF(DataTable[[#This Row],[explanation2]]="WP",1,0))</f>
        <v>0</v>
      </c>
      <c r="AF109" s="18">
        <f>IF(DataTable[[#This Row],[explanation1]]="BR",1,IF(DataTable[[#This Row],[explanation2]]="BR",1,0))</f>
        <v>0</v>
      </c>
      <c r="AG109" s="18">
        <f>IF(DataTable[[#This Row],[explanation1]]="LS",1,IF(DataTable[[#This Row],[explanation2]]="LS",1,0))</f>
        <v>1</v>
      </c>
      <c r="AH109" s="20" t="s">
        <v>202</v>
      </c>
    </row>
    <row r="110" spans="1:34" x14ac:dyDescent="0.2">
      <c r="A110" s="22">
        <v>108</v>
      </c>
      <c r="B110" s="23" t="s">
        <v>57</v>
      </c>
      <c r="C110" s="24" t="s">
        <v>74</v>
      </c>
      <c r="D110" s="25">
        <v>50</v>
      </c>
      <c r="E110" s="23" t="s">
        <v>58</v>
      </c>
      <c r="F110" s="25">
        <v>41</v>
      </c>
      <c r="G110" s="23" t="s">
        <v>57</v>
      </c>
      <c r="H110" s="24" t="s">
        <v>81</v>
      </c>
      <c r="I110" s="25" t="str">
        <f t="shared" si="1"/>
        <v>R</v>
      </c>
      <c r="J110" s="23" t="s">
        <v>78</v>
      </c>
      <c r="K110" s="25" t="s">
        <v>78</v>
      </c>
      <c r="L110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10" s="24">
        <f>IF(DataTable[[#This Row],[3x head (H)/tail (T)?]]=DataTable[[#This Row],[then 4th: H/T/B/0]],1,0)</f>
        <v>1</v>
      </c>
      <c r="N110" s="24">
        <f>IF(DataTable[[#This Row],[then 4th: H/T/B/0]]="B",1,0)</f>
        <v>0</v>
      </c>
      <c r="O110" s="23" t="s">
        <v>198</v>
      </c>
      <c r="P110" s="24">
        <v>14</v>
      </c>
      <c r="Q110" s="26" t="s">
        <v>410</v>
      </c>
      <c r="R110" s="25" t="s">
        <v>53</v>
      </c>
      <c r="S110" s="27" t="s">
        <v>65</v>
      </c>
      <c r="T110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110" s="28" t="s">
        <v>95</v>
      </c>
      <c r="V110" s="29" t="s">
        <v>13</v>
      </c>
      <c r="W110" s="29"/>
      <c r="X110" s="27"/>
      <c r="Y110" s="27">
        <f>IF(DataTable[[#This Row],[explanation1]]="BL",1,IF(DataTable[[#This Row],[explanation2]]="BL",1,IF(DataTable[[#This Row],[explanation1]]="BR",1,IF(DataTable[[#This Row],[explanation2]]="BR",1,0))))</f>
        <v>0</v>
      </c>
      <c r="Z110" s="18">
        <f>IF(DataTable[[#This Row],[explanation1]]="BL",1,IF(DataTable[[#This Row],[explanation2]]="BL",1,0))</f>
        <v>0</v>
      </c>
      <c r="AA110" s="18">
        <f>IF(DataTable[[#This Row],[explanation1]]="WJ",1,IF(DataTable[[#This Row],[explanation2]]="WJ",1,0))</f>
        <v>0</v>
      </c>
      <c r="AB110" s="18">
        <f>IF(DataTable[[#This Row],[explanation1]]="U",1,IF(DataTable[[#This Row],[explanation2]]="U",1,0))</f>
        <v>0</v>
      </c>
      <c r="AC110" s="18">
        <f>IF(DataTable[[#This Row],[explanation1]]="O",1,IF(DataTable[[#This Row],[explanation2]]="O",1,0))</f>
        <v>0</v>
      </c>
      <c r="AD110" s="18">
        <f>IF(DataTable[[#This Row],[explanation1]]="TP",1,IF(DataTable[[#This Row],[explanation2]]="TP",1,0))</f>
        <v>0</v>
      </c>
      <c r="AE110" s="18">
        <f>IF(DataTable[[#This Row],[explanation1]]="WP",1,IF(DataTable[[#This Row],[explanation2]]="WP",1,0))</f>
        <v>0</v>
      </c>
      <c r="AF110" s="18">
        <f>IF(DataTable[[#This Row],[explanation1]]="BR",1,IF(DataTable[[#This Row],[explanation2]]="BR",1,0))</f>
        <v>0</v>
      </c>
      <c r="AG110" s="18">
        <f>IF(DataTable[[#This Row],[explanation1]]="LS",1,IF(DataTable[[#This Row],[explanation2]]="LS",1,0))</f>
        <v>1</v>
      </c>
      <c r="AH110" s="29" t="s">
        <v>203</v>
      </c>
    </row>
    <row r="111" spans="1:34" x14ac:dyDescent="0.2">
      <c r="A111" s="13">
        <v>109</v>
      </c>
      <c r="B111" s="14" t="s">
        <v>57</v>
      </c>
      <c r="C111" s="15" t="s">
        <v>74</v>
      </c>
      <c r="D111" s="16">
        <v>50</v>
      </c>
      <c r="E111" s="14" t="s">
        <v>58</v>
      </c>
      <c r="F111" s="16">
        <v>39</v>
      </c>
      <c r="G111" s="14" t="s">
        <v>57</v>
      </c>
      <c r="H111" s="15" t="s">
        <v>48</v>
      </c>
      <c r="I111" s="16" t="str">
        <f t="shared" si="1"/>
        <v>H1</v>
      </c>
      <c r="J111" s="14" t="s">
        <v>78</v>
      </c>
      <c r="K111" s="16" t="s">
        <v>78</v>
      </c>
      <c r="L111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11" s="15">
        <f>IF(DataTable[[#This Row],[3x head (H)/tail (T)?]]=DataTable[[#This Row],[then 4th: H/T/B/0]],1,0)</f>
        <v>1</v>
      </c>
      <c r="N111" s="15">
        <f>IF(DataTable[[#This Row],[then 4th: H/T/B/0]]="B",1,0)</f>
        <v>0</v>
      </c>
      <c r="O111" s="14" t="s">
        <v>198</v>
      </c>
      <c r="P111" s="15">
        <v>14</v>
      </c>
      <c r="Q111" s="17" t="s">
        <v>410</v>
      </c>
      <c r="R111" s="16" t="s">
        <v>53</v>
      </c>
      <c r="S111" s="18" t="s">
        <v>65</v>
      </c>
      <c r="T111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111" s="19" t="s">
        <v>95</v>
      </c>
      <c r="V111" s="20" t="s">
        <v>13</v>
      </c>
      <c r="W111" s="20" t="s">
        <v>8</v>
      </c>
      <c r="X111" s="18" t="s">
        <v>204</v>
      </c>
      <c r="Y111" s="18">
        <f>IF(DataTable[[#This Row],[explanation1]]="BL",1,IF(DataTable[[#This Row],[explanation2]]="BL",1,IF(DataTable[[#This Row],[explanation1]]="BR",1,IF(DataTable[[#This Row],[explanation2]]="BR",1,0))))</f>
        <v>0</v>
      </c>
      <c r="Z111" s="18">
        <f>IF(DataTable[[#This Row],[explanation1]]="BL",1,IF(DataTable[[#This Row],[explanation2]]="BL",1,0))</f>
        <v>0</v>
      </c>
      <c r="AA111" s="18">
        <f>IF(DataTable[[#This Row],[explanation1]]="WJ",1,IF(DataTable[[#This Row],[explanation2]]="WJ",1,0))</f>
        <v>0</v>
      </c>
      <c r="AB111" s="18">
        <f>IF(DataTable[[#This Row],[explanation1]]="U",1,IF(DataTable[[#This Row],[explanation2]]="U",1,0))</f>
        <v>1</v>
      </c>
      <c r="AC111" s="18">
        <f>IF(DataTable[[#This Row],[explanation1]]="O",1,IF(DataTable[[#This Row],[explanation2]]="O",1,0))</f>
        <v>0</v>
      </c>
      <c r="AD111" s="18">
        <f>IF(DataTable[[#This Row],[explanation1]]="TP",1,IF(DataTable[[#This Row],[explanation2]]="TP",1,0))</f>
        <v>0</v>
      </c>
      <c r="AE111" s="18">
        <f>IF(DataTable[[#This Row],[explanation1]]="WP",1,IF(DataTable[[#This Row],[explanation2]]="WP",1,0))</f>
        <v>0</v>
      </c>
      <c r="AF111" s="18">
        <f>IF(DataTable[[#This Row],[explanation1]]="BR",1,IF(DataTable[[#This Row],[explanation2]]="BR",1,0))</f>
        <v>0</v>
      </c>
      <c r="AG111" s="18">
        <f>IF(DataTable[[#This Row],[explanation1]]="LS",1,IF(DataTable[[#This Row],[explanation2]]="LS",1,0))</f>
        <v>1</v>
      </c>
      <c r="AH111" s="20" t="s">
        <v>205</v>
      </c>
    </row>
    <row r="112" spans="1:34" x14ac:dyDescent="0.2">
      <c r="A112" s="22">
        <v>110</v>
      </c>
      <c r="B112" s="23" t="s">
        <v>57</v>
      </c>
      <c r="C112" s="24" t="s">
        <v>74</v>
      </c>
      <c r="D112" s="25">
        <v>50</v>
      </c>
      <c r="E112" s="23" t="s">
        <v>46</v>
      </c>
      <c r="F112" s="25">
        <v>31</v>
      </c>
      <c r="G112" s="23" t="s">
        <v>47</v>
      </c>
      <c r="H112" s="24" t="s">
        <v>81</v>
      </c>
      <c r="I112" s="25" t="str">
        <f t="shared" si="1"/>
        <v>H1</v>
      </c>
      <c r="J112" s="23" t="s">
        <v>78</v>
      </c>
      <c r="K112" s="25" t="s">
        <v>50</v>
      </c>
      <c r="L112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12" s="24">
        <f>IF(DataTable[[#This Row],[3x head (H)/tail (T)?]]=DataTable[[#This Row],[then 4th: H/T/B/0]],1,0)</f>
        <v>0</v>
      </c>
      <c r="N112" s="24">
        <f>IF(DataTable[[#This Row],[then 4th: H/T/B/0]]="B",1,0)</f>
        <v>1</v>
      </c>
      <c r="O112" s="23" t="s">
        <v>198</v>
      </c>
      <c r="P112" s="24">
        <v>14</v>
      </c>
      <c r="Q112" s="26" t="s">
        <v>410</v>
      </c>
      <c r="R112" s="25" t="s">
        <v>53</v>
      </c>
      <c r="S112" s="27" t="s">
        <v>65</v>
      </c>
      <c r="T112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112" s="28" t="s">
        <v>95</v>
      </c>
      <c r="V112" s="29" t="s">
        <v>6</v>
      </c>
      <c r="W112" s="29"/>
      <c r="X112" s="27"/>
      <c r="Y112" s="27">
        <f>IF(DataTable[[#This Row],[explanation1]]="BL",1,IF(DataTable[[#This Row],[explanation2]]="BL",1,IF(DataTable[[#This Row],[explanation1]]="BR",1,IF(DataTable[[#This Row],[explanation2]]="BR",1,0))))</f>
        <v>1</v>
      </c>
      <c r="Z112" s="18">
        <f>IF(DataTable[[#This Row],[explanation1]]="BL",1,IF(DataTable[[#This Row],[explanation2]]="BL",1,0))</f>
        <v>1</v>
      </c>
      <c r="AA112" s="18">
        <f>IF(DataTable[[#This Row],[explanation1]]="WJ",1,IF(DataTable[[#This Row],[explanation2]]="WJ",1,0))</f>
        <v>0</v>
      </c>
      <c r="AB112" s="18">
        <f>IF(DataTable[[#This Row],[explanation1]]="U",1,IF(DataTable[[#This Row],[explanation2]]="U",1,0))</f>
        <v>0</v>
      </c>
      <c r="AC112" s="18">
        <f>IF(DataTable[[#This Row],[explanation1]]="O",1,IF(DataTable[[#This Row],[explanation2]]="O",1,0))</f>
        <v>0</v>
      </c>
      <c r="AD112" s="18">
        <f>IF(DataTable[[#This Row],[explanation1]]="TP",1,IF(DataTable[[#This Row],[explanation2]]="TP",1,0))</f>
        <v>0</v>
      </c>
      <c r="AE112" s="18">
        <f>IF(DataTable[[#This Row],[explanation1]]="WP",1,IF(DataTable[[#This Row],[explanation2]]="WP",1,0))</f>
        <v>0</v>
      </c>
      <c r="AF112" s="18">
        <f>IF(DataTable[[#This Row],[explanation1]]="BR",1,IF(DataTable[[#This Row],[explanation2]]="BR",1,0))</f>
        <v>0</v>
      </c>
      <c r="AG112" s="18">
        <f>IF(DataTable[[#This Row],[explanation1]]="LS",1,IF(DataTable[[#This Row],[explanation2]]="LS",1,0))</f>
        <v>0</v>
      </c>
      <c r="AH112" s="29" t="s">
        <v>6</v>
      </c>
    </row>
    <row r="113" spans="1:34" x14ac:dyDescent="0.2">
      <c r="A113" s="13">
        <v>111</v>
      </c>
      <c r="B113" s="14" t="s">
        <v>44</v>
      </c>
      <c r="C113" s="15" t="s">
        <v>74</v>
      </c>
      <c r="D113" s="16">
        <v>50</v>
      </c>
      <c r="E113" s="14" t="s">
        <v>58</v>
      </c>
      <c r="F113" s="16">
        <v>35</v>
      </c>
      <c r="G113" s="14" t="s">
        <v>44</v>
      </c>
      <c r="H113" s="15" t="s">
        <v>48</v>
      </c>
      <c r="I113" s="16" t="str">
        <f t="shared" si="1"/>
        <v>L1</v>
      </c>
      <c r="J113" s="14" t="s">
        <v>78</v>
      </c>
      <c r="K113" s="16" t="s">
        <v>49</v>
      </c>
      <c r="L113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113" s="15">
        <f>IF(DataTable[[#This Row],[3x head (H)/tail (T)?]]=DataTable[[#This Row],[then 4th: H/T/B/0]],1,0)</f>
        <v>0</v>
      </c>
      <c r="N113" s="15">
        <f>IF(DataTable[[#This Row],[then 4th: H/T/B/0]]="B",1,0)</f>
        <v>0</v>
      </c>
      <c r="O113" s="14" t="s">
        <v>198</v>
      </c>
      <c r="P113" s="15">
        <v>14</v>
      </c>
      <c r="Q113" s="17" t="s">
        <v>410</v>
      </c>
      <c r="R113" s="16" t="s">
        <v>53</v>
      </c>
      <c r="S113" s="18" t="s">
        <v>75</v>
      </c>
      <c r="T113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113" s="19" t="s">
        <v>76</v>
      </c>
      <c r="V113" s="20" t="s">
        <v>11</v>
      </c>
      <c r="W113" s="20"/>
      <c r="X113" s="18"/>
      <c r="Y113" s="18">
        <f>IF(DataTable[[#This Row],[explanation1]]="BL",1,IF(DataTable[[#This Row],[explanation2]]="BL",1,IF(DataTable[[#This Row],[explanation1]]="BR",1,IF(DataTable[[#This Row],[explanation2]]="BR",1,0))))</f>
        <v>0</v>
      </c>
      <c r="Z113" s="18">
        <f>IF(DataTable[[#This Row],[explanation1]]="BL",1,IF(DataTable[[#This Row],[explanation2]]="BL",1,0))</f>
        <v>0</v>
      </c>
      <c r="AA113" s="18">
        <f>IF(DataTable[[#This Row],[explanation1]]="WJ",1,IF(DataTable[[#This Row],[explanation2]]="WJ",1,0))</f>
        <v>0</v>
      </c>
      <c r="AB113" s="18">
        <f>IF(DataTable[[#This Row],[explanation1]]="U",1,IF(DataTable[[#This Row],[explanation2]]="U",1,0))</f>
        <v>0</v>
      </c>
      <c r="AC113" s="18">
        <f>IF(DataTable[[#This Row],[explanation1]]="O",1,IF(DataTable[[#This Row],[explanation2]]="O",1,0))</f>
        <v>0</v>
      </c>
      <c r="AD113" s="18">
        <f>IF(DataTable[[#This Row],[explanation1]]="TP",1,IF(DataTable[[#This Row],[explanation2]]="TP",1,0))</f>
        <v>0</v>
      </c>
      <c r="AE113" s="18">
        <f>IF(DataTable[[#This Row],[explanation1]]="WP",1,IF(DataTable[[#This Row],[explanation2]]="WP",1,0))</f>
        <v>1</v>
      </c>
      <c r="AF113" s="18">
        <f>IF(DataTable[[#This Row],[explanation1]]="BR",1,IF(DataTable[[#This Row],[explanation2]]="BR",1,0))</f>
        <v>0</v>
      </c>
      <c r="AG113" s="18">
        <f>IF(DataTable[[#This Row],[explanation1]]="LS",1,IF(DataTable[[#This Row],[explanation2]]="LS",1,0))</f>
        <v>0</v>
      </c>
      <c r="AH113" s="20" t="s">
        <v>11</v>
      </c>
    </row>
    <row r="114" spans="1:34" x14ac:dyDescent="0.2">
      <c r="A114" s="22">
        <v>112</v>
      </c>
      <c r="B114" s="23" t="s">
        <v>44</v>
      </c>
      <c r="C114" s="24" t="s">
        <v>74</v>
      </c>
      <c r="D114" s="25">
        <v>50</v>
      </c>
      <c r="E114" s="23" t="s">
        <v>58</v>
      </c>
      <c r="F114" s="25">
        <v>26</v>
      </c>
      <c r="G114" s="23" t="s">
        <v>47</v>
      </c>
      <c r="H114" s="24" t="s">
        <v>48</v>
      </c>
      <c r="I114" s="25" t="str">
        <f t="shared" si="1"/>
        <v>R</v>
      </c>
      <c r="J114" s="23" t="s">
        <v>78</v>
      </c>
      <c r="K114" s="25" t="s">
        <v>49</v>
      </c>
      <c r="L114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114" s="24">
        <f>IF(DataTable[[#This Row],[3x head (H)/tail (T)?]]=DataTable[[#This Row],[then 4th: H/T/B/0]],1,0)</f>
        <v>0</v>
      </c>
      <c r="N114" s="24">
        <f>IF(DataTable[[#This Row],[then 4th: H/T/B/0]]="B",1,0)</f>
        <v>0</v>
      </c>
      <c r="O114" s="23" t="s">
        <v>198</v>
      </c>
      <c r="P114" s="24">
        <v>14</v>
      </c>
      <c r="Q114" s="26" t="s">
        <v>410</v>
      </c>
      <c r="R114" s="25" t="s">
        <v>53</v>
      </c>
      <c r="S114" s="27" t="s">
        <v>65</v>
      </c>
      <c r="T114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114" s="28" t="s">
        <v>95</v>
      </c>
      <c r="V114" s="29" t="s">
        <v>6</v>
      </c>
      <c r="W114" s="29" t="s">
        <v>8</v>
      </c>
      <c r="X114" s="27" t="s">
        <v>204</v>
      </c>
      <c r="Y114" s="27">
        <f>IF(DataTable[[#This Row],[explanation1]]="BL",1,IF(DataTable[[#This Row],[explanation2]]="BL",1,IF(DataTable[[#This Row],[explanation1]]="BR",1,IF(DataTable[[#This Row],[explanation2]]="BR",1,0))))</f>
        <v>1</v>
      </c>
      <c r="Z114" s="18">
        <f>IF(DataTable[[#This Row],[explanation1]]="BL",1,IF(DataTable[[#This Row],[explanation2]]="BL",1,0))</f>
        <v>1</v>
      </c>
      <c r="AA114" s="18">
        <f>IF(DataTable[[#This Row],[explanation1]]="WJ",1,IF(DataTable[[#This Row],[explanation2]]="WJ",1,0))</f>
        <v>0</v>
      </c>
      <c r="AB114" s="18">
        <f>IF(DataTable[[#This Row],[explanation1]]="U",1,IF(DataTable[[#This Row],[explanation2]]="U",1,0))</f>
        <v>1</v>
      </c>
      <c r="AC114" s="18">
        <f>IF(DataTable[[#This Row],[explanation1]]="O",1,IF(DataTable[[#This Row],[explanation2]]="O",1,0))</f>
        <v>0</v>
      </c>
      <c r="AD114" s="18">
        <f>IF(DataTable[[#This Row],[explanation1]]="TP",1,IF(DataTable[[#This Row],[explanation2]]="TP",1,0))</f>
        <v>0</v>
      </c>
      <c r="AE114" s="18">
        <f>IF(DataTable[[#This Row],[explanation1]]="WP",1,IF(DataTable[[#This Row],[explanation2]]="WP",1,0))</f>
        <v>0</v>
      </c>
      <c r="AF114" s="18">
        <f>IF(DataTable[[#This Row],[explanation1]]="BR",1,IF(DataTable[[#This Row],[explanation2]]="BR",1,0))</f>
        <v>0</v>
      </c>
      <c r="AG114" s="18">
        <f>IF(DataTable[[#This Row],[explanation1]]="LS",1,IF(DataTable[[#This Row],[explanation2]]="LS",1,0))</f>
        <v>0</v>
      </c>
      <c r="AH114" s="29" t="s">
        <v>206</v>
      </c>
    </row>
    <row r="115" spans="1:34" x14ac:dyDescent="0.2">
      <c r="A115" s="13">
        <v>113</v>
      </c>
      <c r="B115" s="14" t="s">
        <v>44</v>
      </c>
      <c r="C115" s="15" t="s">
        <v>74</v>
      </c>
      <c r="D115" s="16">
        <v>50</v>
      </c>
      <c r="E115" s="14" t="s">
        <v>58</v>
      </c>
      <c r="F115" s="16">
        <v>39</v>
      </c>
      <c r="G115" s="14" t="s">
        <v>47</v>
      </c>
      <c r="H115" s="15" t="s">
        <v>48</v>
      </c>
      <c r="I115" s="16" t="str">
        <f t="shared" si="1"/>
        <v>R</v>
      </c>
      <c r="J115" s="14" t="s">
        <v>78</v>
      </c>
      <c r="K115" s="16" t="s">
        <v>50</v>
      </c>
      <c r="L115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15" s="15">
        <f>IF(DataTable[[#This Row],[3x head (H)/tail (T)?]]=DataTable[[#This Row],[then 4th: H/T/B/0]],1,0)</f>
        <v>0</v>
      </c>
      <c r="N115" s="15">
        <f>IF(DataTable[[#This Row],[then 4th: H/T/B/0]]="B",1,0)</f>
        <v>1</v>
      </c>
      <c r="O115" s="14" t="s">
        <v>198</v>
      </c>
      <c r="P115" s="15">
        <v>14</v>
      </c>
      <c r="Q115" s="17" t="s">
        <v>410</v>
      </c>
      <c r="R115" s="16" t="s">
        <v>53</v>
      </c>
      <c r="S115" s="18" t="s">
        <v>75</v>
      </c>
      <c r="T115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115" s="19" t="s">
        <v>76</v>
      </c>
      <c r="V115" s="20" t="s">
        <v>11</v>
      </c>
      <c r="W115" s="20"/>
      <c r="X115" s="18"/>
      <c r="Y115" s="18">
        <f>IF(DataTable[[#This Row],[explanation1]]="BL",1,IF(DataTable[[#This Row],[explanation2]]="BL",1,IF(DataTable[[#This Row],[explanation1]]="BR",1,IF(DataTable[[#This Row],[explanation2]]="BR",1,0))))</f>
        <v>0</v>
      </c>
      <c r="Z115" s="18">
        <f>IF(DataTable[[#This Row],[explanation1]]="BL",1,IF(DataTable[[#This Row],[explanation2]]="BL",1,0))</f>
        <v>0</v>
      </c>
      <c r="AA115" s="18">
        <f>IF(DataTable[[#This Row],[explanation1]]="WJ",1,IF(DataTable[[#This Row],[explanation2]]="WJ",1,0))</f>
        <v>0</v>
      </c>
      <c r="AB115" s="18">
        <f>IF(DataTable[[#This Row],[explanation1]]="U",1,IF(DataTable[[#This Row],[explanation2]]="U",1,0))</f>
        <v>0</v>
      </c>
      <c r="AC115" s="18">
        <f>IF(DataTable[[#This Row],[explanation1]]="O",1,IF(DataTable[[#This Row],[explanation2]]="O",1,0))</f>
        <v>0</v>
      </c>
      <c r="AD115" s="18">
        <f>IF(DataTable[[#This Row],[explanation1]]="TP",1,IF(DataTable[[#This Row],[explanation2]]="TP",1,0))</f>
        <v>0</v>
      </c>
      <c r="AE115" s="18">
        <f>IF(DataTable[[#This Row],[explanation1]]="WP",1,IF(DataTable[[#This Row],[explanation2]]="WP",1,0))</f>
        <v>1</v>
      </c>
      <c r="AF115" s="18">
        <f>IF(DataTable[[#This Row],[explanation1]]="BR",1,IF(DataTable[[#This Row],[explanation2]]="BR",1,0))</f>
        <v>0</v>
      </c>
      <c r="AG115" s="18">
        <f>IF(DataTable[[#This Row],[explanation1]]="LS",1,IF(DataTable[[#This Row],[explanation2]]="LS",1,0))</f>
        <v>0</v>
      </c>
      <c r="AH115" s="20" t="s">
        <v>11</v>
      </c>
    </row>
    <row r="116" spans="1:34" x14ac:dyDescent="0.2">
      <c r="A116" s="22">
        <v>114</v>
      </c>
      <c r="B116" s="23" t="s">
        <v>44</v>
      </c>
      <c r="C116" s="24" t="s">
        <v>74</v>
      </c>
      <c r="D116" s="25">
        <v>50</v>
      </c>
      <c r="E116" s="23" t="s">
        <v>58</v>
      </c>
      <c r="F116" s="25">
        <v>26</v>
      </c>
      <c r="G116" s="23" t="s">
        <v>47</v>
      </c>
      <c r="H116" s="24" t="s">
        <v>48</v>
      </c>
      <c r="I116" s="25" t="str">
        <f t="shared" si="1"/>
        <v>R</v>
      </c>
      <c r="J116" s="23" t="s">
        <v>78</v>
      </c>
      <c r="K116" s="25" t="s">
        <v>50</v>
      </c>
      <c r="L116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16" s="24">
        <f>IF(DataTable[[#This Row],[3x head (H)/tail (T)?]]=DataTable[[#This Row],[then 4th: H/T/B/0]],1,0)</f>
        <v>0</v>
      </c>
      <c r="N116" s="24">
        <f>IF(DataTable[[#This Row],[then 4th: H/T/B/0]]="B",1,0)</f>
        <v>1</v>
      </c>
      <c r="O116" s="23" t="s">
        <v>198</v>
      </c>
      <c r="P116" s="24">
        <v>14</v>
      </c>
      <c r="Q116" s="26" t="s">
        <v>410</v>
      </c>
      <c r="R116" s="25" t="s">
        <v>53</v>
      </c>
      <c r="S116" s="27" t="s">
        <v>65</v>
      </c>
      <c r="T116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116" s="28" t="s">
        <v>207</v>
      </c>
      <c r="V116" s="29" t="s">
        <v>208</v>
      </c>
      <c r="W116" s="29"/>
      <c r="X116" s="27"/>
      <c r="Y116" s="27">
        <f>IF(DataTable[[#This Row],[explanation1]]="BL",1,IF(DataTable[[#This Row],[explanation2]]="BL",1,IF(DataTable[[#This Row],[explanation1]]="BR",1,IF(DataTable[[#This Row],[explanation2]]="BR",1,0))))</f>
        <v>0</v>
      </c>
      <c r="Z116" s="18">
        <f>IF(DataTable[[#This Row],[explanation1]]="BL",1,IF(DataTable[[#This Row],[explanation2]]="BL",1,0))</f>
        <v>0</v>
      </c>
      <c r="AA116" s="18">
        <f>IF(DataTable[[#This Row],[explanation1]]="WJ",1,IF(DataTable[[#This Row],[explanation2]]="WJ",1,0))</f>
        <v>0</v>
      </c>
      <c r="AB116" s="18">
        <f>IF(DataTable[[#This Row],[explanation1]]="U",1,IF(DataTable[[#This Row],[explanation2]]="U",1,0))</f>
        <v>0</v>
      </c>
      <c r="AC116" s="18">
        <f>IF(DataTable[[#This Row],[explanation1]]="O",1,IF(DataTable[[#This Row],[explanation2]]="O",1,0))</f>
        <v>0</v>
      </c>
      <c r="AD116" s="18">
        <f>IF(DataTable[[#This Row],[explanation1]]="TP",1,IF(DataTable[[#This Row],[explanation2]]="TP",1,0))</f>
        <v>0</v>
      </c>
      <c r="AE116" s="18">
        <f>IF(DataTable[[#This Row],[explanation1]]="WP",1,IF(DataTable[[#This Row],[explanation2]]="WP",1,0))</f>
        <v>0</v>
      </c>
      <c r="AF116" s="18">
        <f>IF(DataTable[[#This Row],[explanation1]]="BR",1,IF(DataTable[[#This Row],[explanation2]]="BR",1,0))</f>
        <v>0</v>
      </c>
      <c r="AG116" s="18">
        <f>IF(DataTable[[#This Row],[explanation1]]="LS",1,IF(DataTable[[#This Row],[explanation2]]="LS",1,0))</f>
        <v>0</v>
      </c>
      <c r="AH116" s="29" t="s">
        <v>208</v>
      </c>
    </row>
    <row r="117" spans="1:34" x14ac:dyDescent="0.2">
      <c r="A117" s="13">
        <v>115</v>
      </c>
      <c r="B117" s="14" t="s">
        <v>44</v>
      </c>
      <c r="C117" s="15" t="s">
        <v>74</v>
      </c>
      <c r="D117" s="16">
        <v>50</v>
      </c>
      <c r="E117" s="14" t="s">
        <v>58</v>
      </c>
      <c r="F117" s="16">
        <v>38</v>
      </c>
      <c r="G117" s="14" t="s">
        <v>47</v>
      </c>
      <c r="H117" s="15" t="s">
        <v>48</v>
      </c>
      <c r="I117" s="16" t="str">
        <f t="shared" si="1"/>
        <v>R</v>
      </c>
      <c r="J117" s="14" t="s">
        <v>78</v>
      </c>
      <c r="K117" s="16" t="s">
        <v>78</v>
      </c>
      <c r="L117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17" s="15">
        <f>IF(DataTable[[#This Row],[3x head (H)/tail (T)?]]=DataTable[[#This Row],[then 4th: H/T/B/0]],1,0)</f>
        <v>1</v>
      </c>
      <c r="N117" s="15">
        <f>IF(DataTable[[#This Row],[then 4th: H/T/B/0]]="B",1,0)</f>
        <v>0</v>
      </c>
      <c r="O117" s="14" t="s">
        <v>198</v>
      </c>
      <c r="P117" s="15">
        <v>14</v>
      </c>
      <c r="Q117" s="17" t="s">
        <v>410</v>
      </c>
      <c r="R117" s="16" t="s">
        <v>53</v>
      </c>
      <c r="S117" s="18" t="s">
        <v>54</v>
      </c>
      <c r="T117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117" s="19" t="s">
        <v>72</v>
      </c>
      <c r="V117" s="20" t="s">
        <v>6</v>
      </c>
      <c r="W117" s="20" t="s">
        <v>12</v>
      </c>
      <c r="X117" s="18"/>
      <c r="Y117" s="18">
        <f>IF(DataTable[[#This Row],[explanation1]]="BL",1,IF(DataTable[[#This Row],[explanation2]]="BL",1,IF(DataTable[[#This Row],[explanation1]]="BR",1,IF(DataTable[[#This Row],[explanation2]]="BR",1,0))))</f>
        <v>1</v>
      </c>
      <c r="Z117" s="18">
        <f>IF(DataTable[[#This Row],[explanation1]]="BL",1,IF(DataTable[[#This Row],[explanation2]]="BL",1,0))</f>
        <v>1</v>
      </c>
      <c r="AA117" s="18">
        <f>IF(DataTable[[#This Row],[explanation1]]="WJ",1,IF(DataTable[[#This Row],[explanation2]]="WJ",1,0))</f>
        <v>0</v>
      </c>
      <c r="AB117" s="18">
        <f>IF(DataTable[[#This Row],[explanation1]]="U",1,IF(DataTable[[#This Row],[explanation2]]="U",1,0))</f>
        <v>0</v>
      </c>
      <c r="AC117" s="18">
        <f>IF(DataTable[[#This Row],[explanation1]]="O",1,IF(DataTable[[#This Row],[explanation2]]="O",1,0))</f>
        <v>0</v>
      </c>
      <c r="AD117" s="18">
        <f>IF(DataTable[[#This Row],[explanation1]]="TP",1,IF(DataTable[[#This Row],[explanation2]]="TP",1,0))</f>
        <v>0</v>
      </c>
      <c r="AE117" s="18">
        <f>IF(DataTable[[#This Row],[explanation1]]="WP",1,IF(DataTable[[#This Row],[explanation2]]="WP",1,0))</f>
        <v>0</v>
      </c>
      <c r="AF117" s="18">
        <f>IF(DataTable[[#This Row],[explanation1]]="BR",1,IF(DataTable[[#This Row],[explanation2]]="BR",1,0))</f>
        <v>1</v>
      </c>
      <c r="AG117" s="18">
        <f>IF(DataTable[[#This Row],[explanation1]]="LS",1,IF(DataTable[[#This Row],[explanation2]]="LS",1,0))</f>
        <v>0</v>
      </c>
      <c r="AH117" s="20" t="s">
        <v>209</v>
      </c>
    </row>
    <row r="118" spans="1:34" x14ac:dyDescent="0.2">
      <c r="A118" s="22">
        <v>116</v>
      </c>
      <c r="B118" s="23" t="s">
        <v>44</v>
      </c>
      <c r="C118" s="24" t="s">
        <v>45</v>
      </c>
      <c r="D118" s="25">
        <v>1</v>
      </c>
      <c r="E118" s="23" t="s">
        <v>58</v>
      </c>
      <c r="F118" s="25">
        <v>24</v>
      </c>
      <c r="G118" s="23" t="s">
        <v>47</v>
      </c>
      <c r="H118" s="24" t="s">
        <v>48</v>
      </c>
      <c r="I118" s="25" t="str">
        <f t="shared" si="1"/>
        <v>R</v>
      </c>
      <c r="J118" s="23" t="s">
        <v>49</v>
      </c>
      <c r="K118" s="25" t="s">
        <v>78</v>
      </c>
      <c r="L118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118" s="24">
        <f>IF(DataTable[[#This Row],[3x head (H)/tail (T)?]]=DataTable[[#This Row],[then 4th: H/T/B/0]],1,0)</f>
        <v>0</v>
      </c>
      <c r="N118" s="24">
        <f>IF(DataTable[[#This Row],[then 4th: H/T/B/0]]="B",1,0)</f>
        <v>0</v>
      </c>
      <c r="O118" s="23" t="s">
        <v>198</v>
      </c>
      <c r="P118" s="24">
        <v>14</v>
      </c>
      <c r="Q118" s="26" t="s">
        <v>410</v>
      </c>
      <c r="R118" s="25" t="s">
        <v>53</v>
      </c>
      <c r="S118" s="27" t="s">
        <v>75</v>
      </c>
      <c r="T118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118" s="28" t="s">
        <v>76</v>
      </c>
      <c r="V118" s="29" t="s">
        <v>6</v>
      </c>
      <c r="W118" s="29"/>
      <c r="X118" s="27"/>
      <c r="Y118" s="27">
        <f>IF(DataTable[[#This Row],[explanation1]]="BL",1,IF(DataTable[[#This Row],[explanation2]]="BL",1,IF(DataTable[[#This Row],[explanation1]]="BR",1,IF(DataTable[[#This Row],[explanation2]]="BR",1,0))))</f>
        <v>1</v>
      </c>
      <c r="Z118" s="18">
        <f>IF(DataTable[[#This Row],[explanation1]]="BL",1,IF(DataTable[[#This Row],[explanation2]]="BL",1,0))</f>
        <v>1</v>
      </c>
      <c r="AA118" s="18">
        <f>IF(DataTable[[#This Row],[explanation1]]="WJ",1,IF(DataTable[[#This Row],[explanation2]]="WJ",1,0))</f>
        <v>0</v>
      </c>
      <c r="AB118" s="18">
        <f>IF(DataTable[[#This Row],[explanation1]]="U",1,IF(DataTable[[#This Row],[explanation2]]="U",1,0))</f>
        <v>0</v>
      </c>
      <c r="AC118" s="18">
        <f>IF(DataTable[[#This Row],[explanation1]]="O",1,IF(DataTable[[#This Row],[explanation2]]="O",1,0))</f>
        <v>0</v>
      </c>
      <c r="AD118" s="18">
        <f>IF(DataTable[[#This Row],[explanation1]]="TP",1,IF(DataTable[[#This Row],[explanation2]]="TP",1,0))</f>
        <v>0</v>
      </c>
      <c r="AE118" s="18">
        <f>IF(DataTable[[#This Row],[explanation1]]="WP",1,IF(DataTable[[#This Row],[explanation2]]="WP",1,0))</f>
        <v>0</v>
      </c>
      <c r="AF118" s="18">
        <f>IF(DataTable[[#This Row],[explanation1]]="BR",1,IF(DataTable[[#This Row],[explanation2]]="BR",1,0))</f>
        <v>0</v>
      </c>
      <c r="AG118" s="18">
        <f>IF(DataTable[[#This Row],[explanation1]]="LS",1,IF(DataTable[[#This Row],[explanation2]]="LS",1,0))</f>
        <v>0</v>
      </c>
      <c r="AH118" s="29" t="s">
        <v>6</v>
      </c>
    </row>
    <row r="119" spans="1:34" x14ac:dyDescent="0.2">
      <c r="A119" s="13">
        <v>117</v>
      </c>
      <c r="B119" s="14" t="s">
        <v>44</v>
      </c>
      <c r="C119" s="15" t="s">
        <v>45</v>
      </c>
      <c r="D119" s="16">
        <v>1</v>
      </c>
      <c r="E119" s="14" t="s">
        <v>46</v>
      </c>
      <c r="F119" s="16">
        <v>56</v>
      </c>
      <c r="G119" s="14" t="s">
        <v>47</v>
      </c>
      <c r="H119" s="15" t="s">
        <v>81</v>
      </c>
      <c r="I119" s="16" t="str">
        <f t="shared" si="1"/>
        <v>L1</v>
      </c>
      <c r="J119" s="14" t="s">
        <v>49</v>
      </c>
      <c r="K119" s="16" t="s">
        <v>78</v>
      </c>
      <c r="L119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119" s="15">
        <f>IF(DataTable[[#This Row],[3x head (H)/tail (T)?]]=DataTable[[#This Row],[then 4th: H/T/B/0]],1,0)</f>
        <v>0</v>
      </c>
      <c r="N119" s="15">
        <f>IF(DataTable[[#This Row],[then 4th: H/T/B/0]]="B",1,0)</f>
        <v>0</v>
      </c>
      <c r="O119" s="14" t="s">
        <v>198</v>
      </c>
      <c r="P119" s="15">
        <v>14</v>
      </c>
      <c r="Q119" s="17" t="s">
        <v>410</v>
      </c>
      <c r="R119" s="16" t="s">
        <v>53</v>
      </c>
      <c r="S119" s="18" t="s">
        <v>65</v>
      </c>
      <c r="T119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119" s="19" t="s">
        <v>95</v>
      </c>
      <c r="V119" s="20" t="s">
        <v>6</v>
      </c>
      <c r="W119" s="20"/>
      <c r="X119" s="18"/>
      <c r="Y119" s="18">
        <f>IF(DataTable[[#This Row],[explanation1]]="BL",1,IF(DataTable[[#This Row],[explanation2]]="BL",1,IF(DataTable[[#This Row],[explanation1]]="BR",1,IF(DataTable[[#This Row],[explanation2]]="BR",1,0))))</f>
        <v>1</v>
      </c>
      <c r="Z119" s="18">
        <f>IF(DataTable[[#This Row],[explanation1]]="BL",1,IF(DataTable[[#This Row],[explanation2]]="BL",1,0))</f>
        <v>1</v>
      </c>
      <c r="AA119" s="18">
        <f>IF(DataTable[[#This Row],[explanation1]]="WJ",1,IF(DataTable[[#This Row],[explanation2]]="WJ",1,0))</f>
        <v>0</v>
      </c>
      <c r="AB119" s="18">
        <f>IF(DataTable[[#This Row],[explanation1]]="U",1,IF(DataTable[[#This Row],[explanation2]]="U",1,0))</f>
        <v>0</v>
      </c>
      <c r="AC119" s="18">
        <f>IF(DataTable[[#This Row],[explanation1]]="O",1,IF(DataTable[[#This Row],[explanation2]]="O",1,0))</f>
        <v>0</v>
      </c>
      <c r="AD119" s="18">
        <f>IF(DataTable[[#This Row],[explanation1]]="TP",1,IF(DataTable[[#This Row],[explanation2]]="TP",1,0))</f>
        <v>0</v>
      </c>
      <c r="AE119" s="18">
        <f>IF(DataTable[[#This Row],[explanation1]]="WP",1,IF(DataTable[[#This Row],[explanation2]]="WP",1,0))</f>
        <v>0</v>
      </c>
      <c r="AF119" s="18">
        <f>IF(DataTable[[#This Row],[explanation1]]="BR",1,IF(DataTable[[#This Row],[explanation2]]="BR",1,0))</f>
        <v>0</v>
      </c>
      <c r="AG119" s="18">
        <f>IF(DataTable[[#This Row],[explanation1]]="LS",1,IF(DataTable[[#This Row],[explanation2]]="LS",1,0))</f>
        <v>0</v>
      </c>
      <c r="AH119" s="20" t="s">
        <v>6</v>
      </c>
    </row>
    <row r="120" spans="1:34" x14ac:dyDescent="0.2">
      <c r="A120" s="22">
        <v>118</v>
      </c>
      <c r="B120" s="23" t="s">
        <v>44</v>
      </c>
      <c r="C120" s="24" t="s">
        <v>74</v>
      </c>
      <c r="D120" s="25">
        <v>1</v>
      </c>
      <c r="E120" s="23" t="s">
        <v>46</v>
      </c>
      <c r="F120" s="25">
        <v>28</v>
      </c>
      <c r="G120" s="23" t="s">
        <v>47</v>
      </c>
      <c r="H120" s="24" t="s">
        <v>48</v>
      </c>
      <c r="I120" s="25" t="str">
        <f t="shared" si="1"/>
        <v>R</v>
      </c>
      <c r="J120" s="23" t="s">
        <v>49</v>
      </c>
      <c r="K120" s="25" t="s">
        <v>50</v>
      </c>
      <c r="L120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20" s="24">
        <f>IF(DataTable[[#This Row],[3x head (H)/tail (T)?]]=DataTable[[#This Row],[then 4th: H/T/B/0]],1,0)</f>
        <v>0</v>
      </c>
      <c r="N120" s="24">
        <f>IF(DataTable[[#This Row],[then 4th: H/T/B/0]]="B",1,0)</f>
        <v>1</v>
      </c>
      <c r="O120" s="23" t="s">
        <v>198</v>
      </c>
      <c r="P120" s="24">
        <v>14</v>
      </c>
      <c r="Q120" s="26" t="s">
        <v>410</v>
      </c>
      <c r="R120" s="25" t="s">
        <v>53</v>
      </c>
      <c r="S120" s="27" t="s">
        <v>61</v>
      </c>
      <c r="T120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4</v>
      </c>
      <c r="U120" s="28" t="s">
        <v>173</v>
      </c>
      <c r="V120" s="29" t="s">
        <v>6</v>
      </c>
      <c r="W120" s="29"/>
      <c r="X120" s="27"/>
      <c r="Y120" s="27">
        <f>IF(DataTable[[#This Row],[explanation1]]="BL",1,IF(DataTable[[#This Row],[explanation2]]="BL",1,IF(DataTable[[#This Row],[explanation1]]="BR",1,IF(DataTable[[#This Row],[explanation2]]="BR",1,0))))</f>
        <v>1</v>
      </c>
      <c r="Z120" s="18">
        <f>IF(DataTable[[#This Row],[explanation1]]="BL",1,IF(DataTable[[#This Row],[explanation2]]="BL",1,0))</f>
        <v>1</v>
      </c>
      <c r="AA120" s="18">
        <f>IF(DataTable[[#This Row],[explanation1]]="WJ",1,IF(DataTable[[#This Row],[explanation2]]="WJ",1,0))</f>
        <v>0</v>
      </c>
      <c r="AB120" s="18">
        <f>IF(DataTable[[#This Row],[explanation1]]="U",1,IF(DataTable[[#This Row],[explanation2]]="U",1,0))</f>
        <v>0</v>
      </c>
      <c r="AC120" s="18">
        <f>IF(DataTable[[#This Row],[explanation1]]="O",1,IF(DataTable[[#This Row],[explanation2]]="O",1,0))</f>
        <v>0</v>
      </c>
      <c r="AD120" s="18">
        <f>IF(DataTable[[#This Row],[explanation1]]="TP",1,IF(DataTable[[#This Row],[explanation2]]="TP",1,0))</f>
        <v>0</v>
      </c>
      <c r="AE120" s="18">
        <f>IF(DataTable[[#This Row],[explanation1]]="WP",1,IF(DataTable[[#This Row],[explanation2]]="WP",1,0))</f>
        <v>0</v>
      </c>
      <c r="AF120" s="18">
        <f>IF(DataTable[[#This Row],[explanation1]]="BR",1,IF(DataTable[[#This Row],[explanation2]]="BR",1,0))</f>
        <v>0</v>
      </c>
      <c r="AG120" s="18">
        <f>IF(DataTable[[#This Row],[explanation1]]="LS",1,IF(DataTable[[#This Row],[explanation2]]="LS",1,0))</f>
        <v>0</v>
      </c>
      <c r="AH120" s="29" t="s">
        <v>6</v>
      </c>
    </row>
    <row r="121" spans="1:34" x14ac:dyDescent="0.2">
      <c r="A121" s="13">
        <v>119</v>
      </c>
      <c r="B121" s="14" t="s">
        <v>44</v>
      </c>
      <c r="C121" s="15" t="s">
        <v>74</v>
      </c>
      <c r="D121" s="16">
        <v>1</v>
      </c>
      <c r="E121" s="14" t="s">
        <v>58</v>
      </c>
      <c r="F121" s="16">
        <v>58</v>
      </c>
      <c r="G121" s="14" t="s">
        <v>47</v>
      </c>
      <c r="H121" s="15" t="s">
        <v>48</v>
      </c>
      <c r="I121" s="16" t="str">
        <f t="shared" si="1"/>
        <v>R</v>
      </c>
      <c r="J121" s="14" t="s">
        <v>49</v>
      </c>
      <c r="K121" s="16" t="s">
        <v>78</v>
      </c>
      <c r="L121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121" s="15">
        <f>IF(DataTable[[#This Row],[3x head (H)/tail (T)?]]=DataTable[[#This Row],[then 4th: H/T/B/0]],1,0)</f>
        <v>0</v>
      </c>
      <c r="N121" s="15">
        <f>IF(DataTable[[#This Row],[then 4th: H/T/B/0]]="B",1,0)</f>
        <v>0</v>
      </c>
      <c r="O121" s="14" t="s">
        <v>198</v>
      </c>
      <c r="P121" s="15">
        <v>14</v>
      </c>
      <c r="Q121" s="17" t="s">
        <v>410</v>
      </c>
      <c r="R121" s="16" t="s">
        <v>53</v>
      </c>
      <c r="S121" s="18" t="s">
        <v>65</v>
      </c>
      <c r="T121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121" s="19" t="s">
        <v>210</v>
      </c>
      <c r="V121" s="20" t="s">
        <v>6</v>
      </c>
      <c r="W121" s="20"/>
      <c r="X121" s="18"/>
      <c r="Y121" s="18">
        <f>IF(DataTable[[#This Row],[explanation1]]="BL",1,IF(DataTable[[#This Row],[explanation2]]="BL",1,IF(DataTable[[#This Row],[explanation1]]="BR",1,IF(DataTable[[#This Row],[explanation2]]="BR",1,0))))</f>
        <v>1</v>
      </c>
      <c r="Z121" s="18">
        <f>IF(DataTable[[#This Row],[explanation1]]="BL",1,IF(DataTable[[#This Row],[explanation2]]="BL",1,0))</f>
        <v>1</v>
      </c>
      <c r="AA121" s="18">
        <f>IF(DataTable[[#This Row],[explanation1]]="WJ",1,IF(DataTable[[#This Row],[explanation2]]="WJ",1,0))</f>
        <v>0</v>
      </c>
      <c r="AB121" s="18">
        <f>IF(DataTable[[#This Row],[explanation1]]="U",1,IF(DataTable[[#This Row],[explanation2]]="U",1,0))</f>
        <v>0</v>
      </c>
      <c r="AC121" s="18">
        <f>IF(DataTable[[#This Row],[explanation1]]="O",1,IF(DataTable[[#This Row],[explanation2]]="O",1,0))</f>
        <v>0</v>
      </c>
      <c r="AD121" s="18">
        <f>IF(DataTable[[#This Row],[explanation1]]="TP",1,IF(DataTable[[#This Row],[explanation2]]="TP",1,0))</f>
        <v>0</v>
      </c>
      <c r="AE121" s="18">
        <f>IF(DataTable[[#This Row],[explanation1]]="WP",1,IF(DataTable[[#This Row],[explanation2]]="WP",1,0))</f>
        <v>0</v>
      </c>
      <c r="AF121" s="18">
        <f>IF(DataTable[[#This Row],[explanation1]]="BR",1,IF(DataTable[[#This Row],[explanation2]]="BR",1,0))</f>
        <v>0</v>
      </c>
      <c r="AG121" s="18">
        <f>IF(DataTable[[#This Row],[explanation1]]="LS",1,IF(DataTable[[#This Row],[explanation2]]="LS",1,0))</f>
        <v>0</v>
      </c>
      <c r="AH121" s="20" t="s">
        <v>6</v>
      </c>
    </row>
    <row r="122" spans="1:34" x14ac:dyDescent="0.2">
      <c r="A122" s="22">
        <v>120</v>
      </c>
      <c r="B122" s="23" t="s">
        <v>44</v>
      </c>
      <c r="C122" s="24" t="s">
        <v>45</v>
      </c>
      <c r="D122" s="25">
        <v>1</v>
      </c>
      <c r="E122" s="23" t="s">
        <v>58</v>
      </c>
      <c r="F122" s="25">
        <v>35</v>
      </c>
      <c r="G122" s="23" t="s">
        <v>47</v>
      </c>
      <c r="H122" s="24" t="s">
        <v>48</v>
      </c>
      <c r="I122" s="25" t="str">
        <f t="shared" si="1"/>
        <v>R</v>
      </c>
      <c r="J122" s="23" t="s">
        <v>49</v>
      </c>
      <c r="K122" s="25" t="s">
        <v>78</v>
      </c>
      <c r="L122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122" s="24">
        <f>IF(DataTable[[#This Row],[3x head (H)/tail (T)?]]=DataTable[[#This Row],[then 4th: H/T/B/0]],1,0)</f>
        <v>0</v>
      </c>
      <c r="N122" s="24">
        <f>IF(DataTable[[#This Row],[then 4th: H/T/B/0]]="B",1,0)</f>
        <v>0</v>
      </c>
      <c r="O122" s="23" t="s">
        <v>198</v>
      </c>
      <c r="P122" s="24">
        <v>14</v>
      </c>
      <c r="Q122" s="26" t="s">
        <v>410</v>
      </c>
      <c r="R122" s="25" t="s">
        <v>53</v>
      </c>
      <c r="S122" s="27" t="s">
        <v>75</v>
      </c>
      <c r="T122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122" s="28" t="s">
        <v>76</v>
      </c>
      <c r="V122" s="29" t="s">
        <v>12</v>
      </c>
      <c r="W122" s="29"/>
      <c r="X122" s="27"/>
      <c r="Y122" s="27">
        <f>IF(DataTable[[#This Row],[explanation1]]="BL",1,IF(DataTable[[#This Row],[explanation2]]="BL",1,IF(DataTable[[#This Row],[explanation1]]="BR",1,IF(DataTable[[#This Row],[explanation2]]="BR",1,0))))</f>
        <v>1</v>
      </c>
      <c r="Z122" s="18">
        <f>IF(DataTable[[#This Row],[explanation1]]="BL",1,IF(DataTable[[#This Row],[explanation2]]="BL",1,0))</f>
        <v>0</v>
      </c>
      <c r="AA122" s="18">
        <f>IF(DataTable[[#This Row],[explanation1]]="WJ",1,IF(DataTable[[#This Row],[explanation2]]="WJ",1,0))</f>
        <v>0</v>
      </c>
      <c r="AB122" s="18">
        <f>IF(DataTable[[#This Row],[explanation1]]="U",1,IF(DataTable[[#This Row],[explanation2]]="U",1,0))</f>
        <v>0</v>
      </c>
      <c r="AC122" s="18">
        <f>IF(DataTable[[#This Row],[explanation1]]="O",1,IF(DataTable[[#This Row],[explanation2]]="O",1,0))</f>
        <v>0</v>
      </c>
      <c r="AD122" s="18">
        <f>IF(DataTable[[#This Row],[explanation1]]="TP",1,IF(DataTable[[#This Row],[explanation2]]="TP",1,0))</f>
        <v>0</v>
      </c>
      <c r="AE122" s="18">
        <f>IF(DataTable[[#This Row],[explanation1]]="WP",1,IF(DataTable[[#This Row],[explanation2]]="WP",1,0))</f>
        <v>0</v>
      </c>
      <c r="AF122" s="18">
        <f>IF(DataTable[[#This Row],[explanation1]]="BR",1,IF(DataTable[[#This Row],[explanation2]]="BR",1,0))</f>
        <v>1</v>
      </c>
      <c r="AG122" s="18">
        <f>IF(DataTable[[#This Row],[explanation1]]="LS",1,IF(DataTable[[#This Row],[explanation2]]="LS",1,0))</f>
        <v>0</v>
      </c>
      <c r="AH122" s="29" t="s">
        <v>63</v>
      </c>
    </row>
    <row r="123" spans="1:34" x14ac:dyDescent="0.2">
      <c r="A123" s="13">
        <v>121</v>
      </c>
      <c r="B123" s="14" t="s">
        <v>44</v>
      </c>
      <c r="C123" s="15" t="s">
        <v>45</v>
      </c>
      <c r="D123" s="16">
        <v>1</v>
      </c>
      <c r="E123" s="14" t="s">
        <v>58</v>
      </c>
      <c r="F123" s="16">
        <v>34</v>
      </c>
      <c r="G123" s="14" t="s">
        <v>47</v>
      </c>
      <c r="H123" s="15" t="s">
        <v>48</v>
      </c>
      <c r="I123" s="16" t="str">
        <f t="shared" si="1"/>
        <v>R</v>
      </c>
      <c r="J123" s="14" t="s">
        <v>49</v>
      </c>
      <c r="K123" s="16" t="s">
        <v>49</v>
      </c>
      <c r="L123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23" s="15">
        <f>IF(DataTable[[#This Row],[3x head (H)/tail (T)?]]=DataTable[[#This Row],[then 4th: H/T/B/0]],1,0)</f>
        <v>1</v>
      </c>
      <c r="N123" s="15">
        <f>IF(DataTable[[#This Row],[then 4th: H/T/B/0]]="B",1,0)</f>
        <v>0</v>
      </c>
      <c r="O123" s="14" t="s">
        <v>198</v>
      </c>
      <c r="P123" s="15">
        <v>14</v>
      </c>
      <c r="Q123" s="17" t="s">
        <v>410</v>
      </c>
      <c r="R123" s="16" t="s">
        <v>53</v>
      </c>
      <c r="S123" s="18" t="s">
        <v>75</v>
      </c>
      <c r="T123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123" s="19" t="s">
        <v>76</v>
      </c>
      <c r="V123" s="20" t="s">
        <v>11</v>
      </c>
      <c r="W123" s="20"/>
      <c r="X123" s="18"/>
      <c r="Y123" s="18">
        <f>IF(DataTable[[#This Row],[explanation1]]="BL",1,IF(DataTable[[#This Row],[explanation2]]="BL",1,IF(DataTable[[#This Row],[explanation1]]="BR",1,IF(DataTable[[#This Row],[explanation2]]="BR",1,0))))</f>
        <v>0</v>
      </c>
      <c r="Z123" s="18">
        <f>IF(DataTable[[#This Row],[explanation1]]="BL",1,IF(DataTable[[#This Row],[explanation2]]="BL",1,0))</f>
        <v>0</v>
      </c>
      <c r="AA123" s="18">
        <f>IF(DataTable[[#This Row],[explanation1]]="WJ",1,IF(DataTable[[#This Row],[explanation2]]="WJ",1,0))</f>
        <v>0</v>
      </c>
      <c r="AB123" s="18">
        <f>IF(DataTable[[#This Row],[explanation1]]="U",1,IF(DataTable[[#This Row],[explanation2]]="U",1,0))</f>
        <v>0</v>
      </c>
      <c r="AC123" s="18">
        <f>IF(DataTable[[#This Row],[explanation1]]="O",1,IF(DataTable[[#This Row],[explanation2]]="O",1,0))</f>
        <v>0</v>
      </c>
      <c r="AD123" s="18">
        <f>IF(DataTable[[#This Row],[explanation1]]="TP",1,IF(DataTable[[#This Row],[explanation2]]="TP",1,0))</f>
        <v>0</v>
      </c>
      <c r="AE123" s="18">
        <f>IF(DataTable[[#This Row],[explanation1]]="WP",1,IF(DataTable[[#This Row],[explanation2]]="WP",1,0))</f>
        <v>1</v>
      </c>
      <c r="AF123" s="18">
        <f>IF(DataTable[[#This Row],[explanation1]]="BR",1,IF(DataTable[[#This Row],[explanation2]]="BR",1,0))</f>
        <v>0</v>
      </c>
      <c r="AG123" s="18">
        <f>IF(DataTable[[#This Row],[explanation1]]="LS",1,IF(DataTable[[#This Row],[explanation2]]="LS",1,0))</f>
        <v>0</v>
      </c>
      <c r="AH123" s="20" t="s">
        <v>11</v>
      </c>
    </row>
    <row r="124" spans="1:34" x14ac:dyDescent="0.2">
      <c r="A124" s="22">
        <v>122</v>
      </c>
      <c r="B124" s="23" t="s">
        <v>44</v>
      </c>
      <c r="C124" s="24" t="s">
        <v>45</v>
      </c>
      <c r="D124" s="25">
        <v>1</v>
      </c>
      <c r="E124" s="23" t="s">
        <v>58</v>
      </c>
      <c r="F124" s="25">
        <v>36</v>
      </c>
      <c r="G124" s="23" t="s">
        <v>47</v>
      </c>
      <c r="H124" s="24" t="s">
        <v>48</v>
      </c>
      <c r="I124" s="25" t="str">
        <f t="shared" si="1"/>
        <v>R</v>
      </c>
      <c r="J124" s="23" t="s">
        <v>49</v>
      </c>
      <c r="K124" s="25" t="s">
        <v>50</v>
      </c>
      <c r="L124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24" s="24">
        <f>IF(DataTable[[#This Row],[3x head (H)/tail (T)?]]=DataTable[[#This Row],[then 4th: H/T/B/0]],1,0)</f>
        <v>0</v>
      </c>
      <c r="N124" s="24">
        <f>IF(DataTable[[#This Row],[then 4th: H/T/B/0]]="B",1,0)</f>
        <v>1</v>
      </c>
      <c r="O124" s="23" t="s">
        <v>198</v>
      </c>
      <c r="P124" s="24">
        <v>14</v>
      </c>
      <c r="Q124" s="26" t="s">
        <v>410</v>
      </c>
      <c r="R124" s="25" t="s">
        <v>53</v>
      </c>
      <c r="S124" s="27" t="s">
        <v>65</v>
      </c>
      <c r="T124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124" s="28" t="s">
        <v>210</v>
      </c>
      <c r="V124" s="29" t="s">
        <v>11</v>
      </c>
      <c r="W124" s="29"/>
      <c r="X124" s="27"/>
      <c r="Y124" s="27">
        <f>IF(DataTable[[#This Row],[explanation1]]="BL",1,IF(DataTable[[#This Row],[explanation2]]="BL",1,IF(DataTable[[#This Row],[explanation1]]="BR",1,IF(DataTable[[#This Row],[explanation2]]="BR",1,0))))</f>
        <v>0</v>
      </c>
      <c r="Z124" s="18">
        <f>IF(DataTable[[#This Row],[explanation1]]="BL",1,IF(DataTable[[#This Row],[explanation2]]="BL",1,0))</f>
        <v>0</v>
      </c>
      <c r="AA124" s="18">
        <f>IF(DataTable[[#This Row],[explanation1]]="WJ",1,IF(DataTable[[#This Row],[explanation2]]="WJ",1,0))</f>
        <v>0</v>
      </c>
      <c r="AB124" s="18">
        <f>IF(DataTable[[#This Row],[explanation1]]="U",1,IF(DataTable[[#This Row],[explanation2]]="U",1,0))</f>
        <v>0</v>
      </c>
      <c r="AC124" s="18">
        <f>IF(DataTable[[#This Row],[explanation1]]="O",1,IF(DataTable[[#This Row],[explanation2]]="O",1,0))</f>
        <v>0</v>
      </c>
      <c r="AD124" s="18">
        <f>IF(DataTable[[#This Row],[explanation1]]="TP",1,IF(DataTable[[#This Row],[explanation2]]="TP",1,0))</f>
        <v>0</v>
      </c>
      <c r="AE124" s="18">
        <f>IF(DataTable[[#This Row],[explanation1]]="WP",1,IF(DataTable[[#This Row],[explanation2]]="WP",1,0))</f>
        <v>1</v>
      </c>
      <c r="AF124" s="18">
        <f>IF(DataTable[[#This Row],[explanation1]]="BR",1,IF(DataTable[[#This Row],[explanation2]]="BR",1,0))</f>
        <v>0</v>
      </c>
      <c r="AG124" s="18">
        <f>IF(DataTable[[#This Row],[explanation1]]="LS",1,IF(DataTable[[#This Row],[explanation2]]="LS",1,0))</f>
        <v>0</v>
      </c>
      <c r="AH124" s="29" t="s">
        <v>11</v>
      </c>
    </row>
    <row r="125" spans="1:34" x14ac:dyDescent="0.2">
      <c r="A125" s="13">
        <v>123</v>
      </c>
      <c r="B125" s="14" t="s">
        <v>44</v>
      </c>
      <c r="C125" s="15" t="s">
        <v>45</v>
      </c>
      <c r="D125" s="16">
        <v>1</v>
      </c>
      <c r="E125" s="14" t="s">
        <v>58</v>
      </c>
      <c r="F125" s="16">
        <v>26</v>
      </c>
      <c r="G125" s="14" t="s">
        <v>47</v>
      </c>
      <c r="H125" s="15" t="s">
        <v>48</v>
      </c>
      <c r="I125" s="16" t="str">
        <f t="shared" si="1"/>
        <v>R</v>
      </c>
      <c r="J125" s="14" t="s">
        <v>49</v>
      </c>
      <c r="K125" s="16" t="s">
        <v>50</v>
      </c>
      <c r="L125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25" s="15">
        <f>IF(DataTable[[#This Row],[3x head (H)/tail (T)?]]=DataTable[[#This Row],[then 4th: H/T/B/0]],1,0)</f>
        <v>0</v>
      </c>
      <c r="N125" s="15">
        <f>IF(DataTable[[#This Row],[then 4th: H/T/B/0]]="B",1,0)</f>
        <v>1</v>
      </c>
      <c r="O125" s="14" t="s">
        <v>198</v>
      </c>
      <c r="P125" s="15">
        <v>14</v>
      </c>
      <c r="Q125" s="17" t="s">
        <v>410</v>
      </c>
      <c r="R125" s="16" t="s">
        <v>53</v>
      </c>
      <c r="S125" s="18" t="s">
        <v>54</v>
      </c>
      <c r="T125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125" s="19" t="s">
        <v>88</v>
      </c>
      <c r="V125" s="20" t="s">
        <v>11</v>
      </c>
      <c r="W125" s="20"/>
      <c r="X125" s="18"/>
      <c r="Y125" s="18">
        <f>IF(DataTable[[#This Row],[explanation1]]="BL",1,IF(DataTable[[#This Row],[explanation2]]="BL",1,IF(DataTable[[#This Row],[explanation1]]="BR",1,IF(DataTable[[#This Row],[explanation2]]="BR",1,0))))</f>
        <v>0</v>
      </c>
      <c r="Z125" s="18">
        <f>IF(DataTable[[#This Row],[explanation1]]="BL",1,IF(DataTable[[#This Row],[explanation2]]="BL",1,0))</f>
        <v>0</v>
      </c>
      <c r="AA125" s="18">
        <f>IF(DataTable[[#This Row],[explanation1]]="WJ",1,IF(DataTable[[#This Row],[explanation2]]="WJ",1,0))</f>
        <v>0</v>
      </c>
      <c r="AB125" s="18">
        <f>IF(DataTable[[#This Row],[explanation1]]="U",1,IF(DataTable[[#This Row],[explanation2]]="U",1,0))</f>
        <v>0</v>
      </c>
      <c r="AC125" s="18">
        <f>IF(DataTable[[#This Row],[explanation1]]="O",1,IF(DataTable[[#This Row],[explanation2]]="O",1,0))</f>
        <v>0</v>
      </c>
      <c r="AD125" s="18">
        <f>IF(DataTable[[#This Row],[explanation1]]="TP",1,IF(DataTable[[#This Row],[explanation2]]="TP",1,0))</f>
        <v>0</v>
      </c>
      <c r="AE125" s="18">
        <f>IF(DataTable[[#This Row],[explanation1]]="WP",1,IF(DataTable[[#This Row],[explanation2]]="WP",1,0))</f>
        <v>1</v>
      </c>
      <c r="AF125" s="18">
        <f>IF(DataTable[[#This Row],[explanation1]]="BR",1,IF(DataTable[[#This Row],[explanation2]]="BR",1,0))</f>
        <v>0</v>
      </c>
      <c r="AG125" s="18">
        <f>IF(DataTable[[#This Row],[explanation1]]="LS",1,IF(DataTable[[#This Row],[explanation2]]="LS",1,0))</f>
        <v>0</v>
      </c>
      <c r="AH125" s="20" t="s">
        <v>11</v>
      </c>
    </row>
    <row r="126" spans="1:34" x14ac:dyDescent="0.2">
      <c r="A126" s="22">
        <v>124</v>
      </c>
      <c r="B126" s="23" t="s">
        <v>70</v>
      </c>
      <c r="C126" s="24" t="s">
        <v>45</v>
      </c>
      <c r="D126" s="25">
        <v>1</v>
      </c>
      <c r="E126" s="23" t="s">
        <v>58</v>
      </c>
      <c r="F126" s="25">
        <v>26</v>
      </c>
      <c r="G126" s="23" t="s">
        <v>47</v>
      </c>
      <c r="H126" s="24" t="s">
        <v>48</v>
      </c>
      <c r="I126" s="25" t="str">
        <f t="shared" si="1"/>
        <v>R</v>
      </c>
      <c r="J126" s="23" t="s">
        <v>49</v>
      </c>
      <c r="K126" s="25" t="s">
        <v>50</v>
      </c>
      <c r="L126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26" s="24">
        <f>IF(DataTable[[#This Row],[3x head (H)/tail (T)?]]=DataTable[[#This Row],[then 4th: H/T/B/0]],1,0)</f>
        <v>0</v>
      </c>
      <c r="N126" s="24">
        <f>IF(DataTable[[#This Row],[then 4th: H/T/B/0]]="B",1,0)</f>
        <v>1</v>
      </c>
      <c r="O126" s="23" t="s">
        <v>198</v>
      </c>
      <c r="P126" s="24">
        <v>14</v>
      </c>
      <c r="Q126" s="26" t="s">
        <v>410</v>
      </c>
      <c r="R126" s="25" t="s">
        <v>53</v>
      </c>
      <c r="S126" s="27" t="s">
        <v>54</v>
      </c>
      <c r="T126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126" s="28" t="s">
        <v>153</v>
      </c>
      <c r="V126" s="29" t="s">
        <v>11</v>
      </c>
      <c r="W126" s="29"/>
      <c r="X126" s="27"/>
      <c r="Y126" s="27">
        <f>IF(DataTable[[#This Row],[explanation1]]="BL",1,IF(DataTable[[#This Row],[explanation2]]="BL",1,IF(DataTable[[#This Row],[explanation1]]="BR",1,IF(DataTable[[#This Row],[explanation2]]="BR",1,0))))</f>
        <v>0</v>
      </c>
      <c r="Z126" s="18">
        <f>IF(DataTable[[#This Row],[explanation1]]="BL",1,IF(DataTable[[#This Row],[explanation2]]="BL",1,0))</f>
        <v>0</v>
      </c>
      <c r="AA126" s="18">
        <f>IF(DataTable[[#This Row],[explanation1]]="WJ",1,IF(DataTable[[#This Row],[explanation2]]="WJ",1,0))</f>
        <v>0</v>
      </c>
      <c r="AB126" s="18">
        <f>IF(DataTable[[#This Row],[explanation1]]="U",1,IF(DataTable[[#This Row],[explanation2]]="U",1,0))</f>
        <v>0</v>
      </c>
      <c r="AC126" s="18">
        <f>IF(DataTable[[#This Row],[explanation1]]="O",1,IF(DataTable[[#This Row],[explanation2]]="O",1,0))</f>
        <v>0</v>
      </c>
      <c r="AD126" s="18">
        <f>IF(DataTable[[#This Row],[explanation1]]="TP",1,IF(DataTable[[#This Row],[explanation2]]="TP",1,0))</f>
        <v>0</v>
      </c>
      <c r="AE126" s="18">
        <f>IF(DataTable[[#This Row],[explanation1]]="WP",1,IF(DataTable[[#This Row],[explanation2]]="WP",1,0))</f>
        <v>1</v>
      </c>
      <c r="AF126" s="18">
        <f>IF(DataTable[[#This Row],[explanation1]]="BR",1,IF(DataTable[[#This Row],[explanation2]]="BR",1,0))</f>
        <v>0</v>
      </c>
      <c r="AG126" s="18">
        <f>IF(DataTable[[#This Row],[explanation1]]="LS",1,IF(DataTable[[#This Row],[explanation2]]="LS",1,0))</f>
        <v>0</v>
      </c>
      <c r="AH126" s="29" t="s">
        <v>11</v>
      </c>
    </row>
    <row r="127" spans="1:34" x14ac:dyDescent="0.2">
      <c r="A127" s="13">
        <v>125</v>
      </c>
      <c r="B127" s="14" t="s">
        <v>70</v>
      </c>
      <c r="C127" s="15" t="s">
        <v>45</v>
      </c>
      <c r="D127" s="16">
        <v>1</v>
      </c>
      <c r="E127" s="14" t="s">
        <v>46</v>
      </c>
      <c r="F127" s="16">
        <v>30</v>
      </c>
      <c r="G127" s="14" t="s">
        <v>47</v>
      </c>
      <c r="H127" s="15" t="s">
        <v>48</v>
      </c>
      <c r="I127" s="16" t="str">
        <f t="shared" si="1"/>
        <v>R</v>
      </c>
      <c r="J127" s="14" t="s">
        <v>49</v>
      </c>
      <c r="K127" s="16" t="s">
        <v>49</v>
      </c>
      <c r="L127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27" s="15">
        <f>IF(DataTable[[#This Row],[3x head (H)/tail (T)?]]=DataTable[[#This Row],[then 4th: H/T/B/0]],1,0)</f>
        <v>1</v>
      </c>
      <c r="N127" s="15">
        <f>IF(DataTable[[#This Row],[then 4th: H/T/B/0]]="B",1,0)</f>
        <v>0</v>
      </c>
      <c r="O127" s="14" t="s">
        <v>198</v>
      </c>
      <c r="P127" s="15">
        <v>14</v>
      </c>
      <c r="Q127" s="17" t="s">
        <v>405</v>
      </c>
      <c r="R127" s="16" t="s">
        <v>53</v>
      </c>
      <c r="S127" s="18" t="s">
        <v>54</v>
      </c>
      <c r="T127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127" s="19" t="s">
        <v>72</v>
      </c>
      <c r="V127" s="20" t="s">
        <v>6</v>
      </c>
      <c r="W127" s="20"/>
      <c r="X127" s="18"/>
      <c r="Y127" s="18">
        <f>IF(DataTable[[#This Row],[explanation1]]="BL",1,IF(DataTable[[#This Row],[explanation2]]="BL",1,IF(DataTable[[#This Row],[explanation1]]="BR",1,IF(DataTable[[#This Row],[explanation2]]="BR",1,0))))</f>
        <v>1</v>
      </c>
      <c r="Z127" s="18">
        <f>IF(DataTable[[#This Row],[explanation1]]="BL",1,IF(DataTable[[#This Row],[explanation2]]="BL",1,0))</f>
        <v>1</v>
      </c>
      <c r="AA127" s="18">
        <f>IF(DataTable[[#This Row],[explanation1]]="WJ",1,IF(DataTable[[#This Row],[explanation2]]="WJ",1,0))</f>
        <v>0</v>
      </c>
      <c r="AB127" s="18">
        <f>IF(DataTable[[#This Row],[explanation1]]="U",1,IF(DataTable[[#This Row],[explanation2]]="U",1,0))</f>
        <v>0</v>
      </c>
      <c r="AC127" s="18">
        <f>IF(DataTable[[#This Row],[explanation1]]="O",1,IF(DataTable[[#This Row],[explanation2]]="O",1,0))</f>
        <v>0</v>
      </c>
      <c r="AD127" s="18">
        <f>IF(DataTable[[#This Row],[explanation1]]="TP",1,IF(DataTable[[#This Row],[explanation2]]="TP",1,0))</f>
        <v>0</v>
      </c>
      <c r="AE127" s="18">
        <f>IF(DataTable[[#This Row],[explanation1]]="WP",1,IF(DataTable[[#This Row],[explanation2]]="WP",1,0))</f>
        <v>0</v>
      </c>
      <c r="AF127" s="18">
        <f>IF(DataTable[[#This Row],[explanation1]]="BR",1,IF(DataTable[[#This Row],[explanation2]]="BR",1,0))</f>
        <v>0</v>
      </c>
      <c r="AG127" s="18">
        <f>IF(DataTable[[#This Row],[explanation1]]="LS",1,IF(DataTable[[#This Row],[explanation2]]="LS",1,0))</f>
        <v>0</v>
      </c>
      <c r="AH127" s="20" t="s">
        <v>6</v>
      </c>
    </row>
    <row r="128" spans="1:34" x14ac:dyDescent="0.2">
      <c r="A128" s="22">
        <v>126</v>
      </c>
      <c r="B128" s="23" t="s">
        <v>70</v>
      </c>
      <c r="C128" s="24" t="s">
        <v>45</v>
      </c>
      <c r="D128" s="25">
        <v>1</v>
      </c>
      <c r="E128" s="23" t="s">
        <v>58</v>
      </c>
      <c r="F128" s="25">
        <v>63</v>
      </c>
      <c r="G128" s="23" t="s">
        <v>70</v>
      </c>
      <c r="H128" s="24" t="s">
        <v>48</v>
      </c>
      <c r="I128" s="25" t="str">
        <f t="shared" si="1"/>
        <v>M5</v>
      </c>
      <c r="J128" s="23" t="s">
        <v>49</v>
      </c>
      <c r="K128" s="25" t="s">
        <v>78</v>
      </c>
      <c r="L128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128" s="24">
        <f>IF(DataTable[[#This Row],[3x head (H)/tail (T)?]]=DataTable[[#This Row],[then 4th: H/T/B/0]],1,0)</f>
        <v>0</v>
      </c>
      <c r="N128" s="24">
        <f>IF(DataTable[[#This Row],[then 4th: H/T/B/0]]="B",1,0)</f>
        <v>0</v>
      </c>
      <c r="O128" s="23" t="s">
        <v>198</v>
      </c>
      <c r="P128" s="24">
        <v>14</v>
      </c>
      <c r="Q128" s="26" t="s">
        <v>405</v>
      </c>
      <c r="R128" s="25" t="s">
        <v>53</v>
      </c>
      <c r="S128" s="27" t="s">
        <v>75</v>
      </c>
      <c r="T128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128" s="28" t="s">
        <v>76</v>
      </c>
      <c r="V128" s="29" t="s">
        <v>13</v>
      </c>
      <c r="W128" s="29" t="s">
        <v>8</v>
      </c>
      <c r="X128" s="27" t="s">
        <v>158</v>
      </c>
      <c r="Y128" s="27">
        <f>IF(DataTable[[#This Row],[explanation1]]="BL",1,IF(DataTable[[#This Row],[explanation2]]="BL",1,IF(DataTable[[#This Row],[explanation1]]="BR",1,IF(DataTable[[#This Row],[explanation2]]="BR",1,0))))</f>
        <v>0</v>
      </c>
      <c r="Z128" s="18">
        <f>IF(DataTable[[#This Row],[explanation1]]="BL",1,IF(DataTable[[#This Row],[explanation2]]="BL",1,0))</f>
        <v>0</v>
      </c>
      <c r="AA128" s="18">
        <f>IF(DataTable[[#This Row],[explanation1]]="WJ",1,IF(DataTable[[#This Row],[explanation2]]="WJ",1,0))</f>
        <v>0</v>
      </c>
      <c r="AB128" s="18">
        <f>IF(DataTable[[#This Row],[explanation1]]="U",1,IF(DataTable[[#This Row],[explanation2]]="U",1,0))</f>
        <v>1</v>
      </c>
      <c r="AC128" s="18">
        <f>IF(DataTable[[#This Row],[explanation1]]="O",1,IF(DataTable[[#This Row],[explanation2]]="O",1,0))</f>
        <v>0</v>
      </c>
      <c r="AD128" s="18">
        <f>IF(DataTable[[#This Row],[explanation1]]="TP",1,IF(DataTable[[#This Row],[explanation2]]="TP",1,0))</f>
        <v>0</v>
      </c>
      <c r="AE128" s="18">
        <f>IF(DataTable[[#This Row],[explanation1]]="WP",1,IF(DataTable[[#This Row],[explanation2]]="WP",1,0))</f>
        <v>0</v>
      </c>
      <c r="AF128" s="18">
        <f>IF(DataTable[[#This Row],[explanation1]]="BR",1,IF(DataTable[[#This Row],[explanation2]]="BR",1,0))</f>
        <v>0</v>
      </c>
      <c r="AG128" s="18">
        <f>IF(DataTable[[#This Row],[explanation1]]="LS",1,IF(DataTable[[#This Row],[explanation2]]="LS",1,0))</f>
        <v>1</v>
      </c>
      <c r="AH128" s="29" t="s">
        <v>212</v>
      </c>
    </row>
    <row r="129" spans="1:34" x14ac:dyDescent="0.2">
      <c r="A129" s="13">
        <v>127</v>
      </c>
      <c r="B129" s="14" t="s">
        <v>70</v>
      </c>
      <c r="C129" s="15" t="s">
        <v>45</v>
      </c>
      <c r="D129" s="16">
        <v>1</v>
      </c>
      <c r="E129" s="14" t="s">
        <v>46</v>
      </c>
      <c r="F129" s="16">
        <v>26</v>
      </c>
      <c r="G129" s="14" t="s">
        <v>47</v>
      </c>
      <c r="H129" s="15" t="s">
        <v>48</v>
      </c>
      <c r="I129" s="16" t="str">
        <f t="shared" si="1"/>
        <v>R</v>
      </c>
      <c r="J129" s="14" t="s">
        <v>49</v>
      </c>
      <c r="K129" s="16" t="s">
        <v>78</v>
      </c>
      <c r="L129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129" s="15">
        <f>IF(DataTable[[#This Row],[3x head (H)/tail (T)?]]=DataTable[[#This Row],[then 4th: H/T/B/0]],1,0)</f>
        <v>0</v>
      </c>
      <c r="N129" s="15">
        <f>IF(DataTable[[#This Row],[then 4th: H/T/B/0]]="B",1,0)</f>
        <v>0</v>
      </c>
      <c r="O129" s="14" t="s">
        <v>198</v>
      </c>
      <c r="P129" s="15">
        <v>14</v>
      </c>
      <c r="Q129" s="17" t="s">
        <v>405</v>
      </c>
      <c r="R129" s="16" t="s">
        <v>53</v>
      </c>
      <c r="S129" s="18" t="s">
        <v>103</v>
      </c>
      <c r="T129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5</v>
      </c>
      <c r="U129" s="19" t="s">
        <v>213</v>
      </c>
      <c r="V129" s="20" t="s">
        <v>11</v>
      </c>
      <c r="W129" s="20" t="s">
        <v>12</v>
      </c>
      <c r="X129" s="18"/>
      <c r="Y129" s="18">
        <f>IF(DataTable[[#This Row],[explanation1]]="BL",1,IF(DataTable[[#This Row],[explanation2]]="BL",1,IF(DataTable[[#This Row],[explanation1]]="BR",1,IF(DataTable[[#This Row],[explanation2]]="BR",1,0))))</f>
        <v>1</v>
      </c>
      <c r="Z129" s="18">
        <f>IF(DataTable[[#This Row],[explanation1]]="BL",1,IF(DataTable[[#This Row],[explanation2]]="BL",1,0))</f>
        <v>0</v>
      </c>
      <c r="AA129" s="18">
        <f>IF(DataTable[[#This Row],[explanation1]]="WJ",1,IF(DataTable[[#This Row],[explanation2]]="WJ",1,0))</f>
        <v>0</v>
      </c>
      <c r="AB129" s="18">
        <f>IF(DataTable[[#This Row],[explanation1]]="U",1,IF(DataTable[[#This Row],[explanation2]]="U",1,0))</f>
        <v>0</v>
      </c>
      <c r="AC129" s="18">
        <f>IF(DataTable[[#This Row],[explanation1]]="O",1,IF(DataTable[[#This Row],[explanation2]]="O",1,0))</f>
        <v>0</v>
      </c>
      <c r="AD129" s="18">
        <f>IF(DataTable[[#This Row],[explanation1]]="TP",1,IF(DataTable[[#This Row],[explanation2]]="TP",1,0))</f>
        <v>0</v>
      </c>
      <c r="AE129" s="18">
        <f>IF(DataTable[[#This Row],[explanation1]]="WP",1,IF(DataTable[[#This Row],[explanation2]]="WP",1,0))</f>
        <v>1</v>
      </c>
      <c r="AF129" s="18">
        <f>IF(DataTable[[#This Row],[explanation1]]="BR",1,IF(DataTable[[#This Row],[explanation2]]="BR",1,0))</f>
        <v>1</v>
      </c>
      <c r="AG129" s="18">
        <f>IF(DataTable[[#This Row],[explanation1]]="LS",1,IF(DataTable[[#This Row],[explanation2]]="LS",1,0))</f>
        <v>0</v>
      </c>
      <c r="AH129" s="20" t="s">
        <v>214</v>
      </c>
    </row>
    <row r="130" spans="1:34" x14ac:dyDescent="0.2">
      <c r="A130" s="22">
        <v>128</v>
      </c>
      <c r="B130" s="23" t="s">
        <v>70</v>
      </c>
      <c r="C130" s="24" t="s">
        <v>45</v>
      </c>
      <c r="D130" s="25">
        <v>1</v>
      </c>
      <c r="E130" s="23" t="s">
        <v>46</v>
      </c>
      <c r="F130" s="25">
        <v>25</v>
      </c>
      <c r="G130" s="23" t="s">
        <v>47</v>
      </c>
      <c r="H130" s="24" t="s">
        <v>81</v>
      </c>
      <c r="I130" s="25" t="str">
        <f t="shared" si="1"/>
        <v>M5</v>
      </c>
      <c r="J130" s="23" t="s">
        <v>49</v>
      </c>
      <c r="K130" s="25" t="s">
        <v>50</v>
      </c>
      <c r="L130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30" s="24">
        <f>IF(DataTable[[#This Row],[3x head (H)/tail (T)?]]=DataTable[[#This Row],[then 4th: H/T/B/0]],1,0)</f>
        <v>0</v>
      </c>
      <c r="N130" s="24">
        <f>IF(DataTable[[#This Row],[then 4th: H/T/B/0]]="B",1,0)</f>
        <v>1</v>
      </c>
      <c r="O130" s="23" t="s">
        <v>198</v>
      </c>
      <c r="P130" s="24">
        <v>14</v>
      </c>
      <c r="Q130" s="26" t="s">
        <v>405</v>
      </c>
      <c r="R130" s="25" t="s">
        <v>53</v>
      </c>
      <c r="S130" s="27" t="s">
        <v>75</v>
      </c>
      <c r="T130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130" s="28" t="s">
        <v>76</v>
      </c>
      <c r="V130" s="29" t="s">
        <v>7</v>
      </c>
      <c r="W130" s="29"/>
      <c r="X130" s="27"/>
      <c r="Y130" s="27">
        <f>IF(DataTable[[#This Row],[explanation1]]="BL",1,IF(DataTable[[#This Row],[explanation2]]="BL",1,IF(DataTable[[#This Row],[explanation1]]="BR",1,IF(DataTable[[#This Row],[explanation2]]="BR",1,0))))</f>
        <v>0</v>
      </c>
      <c r="Z130" s="18">
        <f>IF(DataTable[[#This Row],[explanation1]]="BL",1,IF(DataTable[[#This Row],[explanation2]]="BL",1,0))</f>
        <v>0</v>
      </c>
      <c r="AA130" s="18">
        <f>IF(DataTable[[#This Row],[explanation1]]="WJ",1,IF(DataTable[[#This Row],[explanation2]]="WJ",1,0))</f>
        <v>1</v>
      </c>
      <c r="AB130" s="18">
        <f>IF(DataTable[[#This Row],[explanation1]]="U",1,IF(DataTable[[#This Row],[explanation2]]="U",1,0))</f>
        <v>0</v>
      </c>
      <c r="AC130" s="18">
        <f>IF(DataTable[[#This Row],[explanation1]]="O",1,IF(DataTable[[#This Row],[explanation2]]="O",1,0))</f>
        <v>0</v>
      </c>
      <c r="AD130" s="18">
        <f>IF(DataTable[[#This Row],[explanation1]]="TP",1,IF(DataTable[[#This Row],[explanation2]]="TP",1,0))</f>
        <v>0</v>
      </c>
      <c r="AE130" s="18">
        <f>IF(DataTable[[#This Row],[explanation1]]="WP",1,IF(DataTable[[#This Row],[explanation2]]="WP",1,0))</f>
        <v>0</v>
      </c>
      <c r="AF130" s="18">
        <f>IF(DataTable[[#This Row],[explanation1]]="BR",1,IF(DataTable[[#This Row],[explanation2]]="BR",1,0))</f>
        <v>0</v>
      </c>
      <c r="AG130" s="18">
        <f>IF(DataTable[[#This Row],[explanation1]]="LS",1,IF(DataTable[[#This Row],[explanation2]]="LS",1,0))</f>
        <v>0</v>
      </c>
      <c r="AH130" s="29" t="s">
        <v>7</v>
      </c>
    </row>
    <row r="131" spans="1:34" x14ac:dyDescent="0.2">
      <c r="A131" s="13">
        <v>129</v>
      </c>
      <c r="B131" s="14" t="s">
        <v>64</v>
      </c>
      <c r="C131" s="15" t="s">
        <v>45</v>
      </c>
      <c r="D131" s="16">
        <v>1</v>
      </c>
      <c r="E131" s="14" t="s">
        <v>46</v>
      </c>
      <c r="F131" s="16">
        <v>32</v>
      </c>
      <c r="G131" s="14" t="s">
        <v>47</v>
      </c>
      <c r="H131" s="15" t="s">
        <v>81</v>
      </c>
      <c r="I131" s="16" t="str">
        <f t="shared" ref="I131:I194" si="2">IF(H131="NIE",G131,IF(G131="R",B131,"R"))</f>
        <v>M1</v>
      </c>
      <c r="J131" s="14" t="s">
        <v>78</v>
      </c>
      <c r="K131" s="16" t="s">
        <v>50</v>
      </c>
      <c r="L131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31" s="15">
        <f>IF(DataTable[[#This Row],[3x head (H)/tail (T)?]]=DataTable[[#This Row],[then 4th: H/T/B/0]],1,0)</f>
        <v>0</v>
      </c>
      <c r="N131" s="15">
        <f>IF(DataTable[[#This Row],[then 4th: H/T/B/0]]="B",1,0)</f>
        <v>1</v>
      </c>
      <c r="O131" s="14" t="s">
        <v>198</v>
      </c>
      <c r="P131" s="15">
        <v>14</v>
      </c>
      <c r="Q131" s="17" t="s">
        <v>405</v>
      </c>
      <c r="R131" s="16" t="s">
        <v>53</v>
      </c>
      <c r="S131" s="18" t="s">
        <v>75</v>
      </c>
      <c r="T131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131" s="19" t="s">
        <v>76</v>
      </c>
      <c r="V131" s="20" t="s">
        <v>7</v>
      </c>
      <c r="W131" s="20"/>
      <c r="X131" s="18"/>
      <c r="Y131" s="18">
        <f>IF(DataTable[[#This Row],[explanation1]]="BL",1,IF(DataTable[[#This Row],[explanation2]]="BL",1,IF(DataTable[[#This Row],[explanation1]]="BR",1,IF(DataTable[[#This Row],[explanation2]]="BR",1,0))))</f>
        <v>0</v>
      </c>
      <c r="Z131" s="18">
        <f>IF(DataTable[[#This Row],[explanation1]]="BL",1,IF(DataTable[[#This Row],[explanation2]]="BL",1,0))</f>
        <v>0</v>
      </c>
      <c r="AA131" s="18">
        <f>IF(DataTable[[#This Row],[explanation1]]="WJ",1,IF(DataTable[[#This Row],[explanation2]]="WJ",1,0))</f>
        <v>1</v>
      </c>
      <c r="AB131" s="18">
        <f>IF(DataTable[[#This Row],[explanation1]]="U",1,IF(DataTable[[#This Row],[explanation2]]="U",1,0))</f>
        <v>0</v>
      </c>
      <c r="AC131" s="18">
        <f>IF(DataTable[[#This Row],[explanation1]]="O",1,IF(DataTable[[#This Row],[explanation2]]="O",1,0))</f>
        <v>0</v>
      </c>
      <c r="AD131" s="18">
        <f>IF(DataTable[[#This Row],[explanation1]]="TP",1,IF(DataTable[[#This Row],[explanation2]]="TP",1,0))</f>
        <v>0</v>
      </c>
      <c r="AE131" s="18">
        <f>IF(DataTable[[#This Row],[explanation1]]="WP",1,IF(DataTable[[#This Row],[explanation2]]="WP",1,0))</f>
        <v>0</v>
      </c>
      <c r="AF131" s="18">
        <f>IF(DataTable[[#This Row],[explanation1]]="BR",1,IF(DataTable[[#This Row],[explanation2]]="BR",1,0))</f>
        <v>0</v>
      </c>
      <c r="AG131" s="18">
        <f>IF(DataTable[[#This Row],[explanation1]]="LS",1,IF(DataTable[[#This Row],[explanation2]]="LS",1,0))</f>
        <v>0</v>
      </c>
      <c r="AH131" s="20" t="s">
        <v>7</v>
      </c>
    </row>
    <row r="132" spans="1:34" x14ac:dyDescent="0.2">
      <c r="A132" s="22">
        <v>130</v>
      </c>
      <c r="B132" s="23" t="s">
        <v>64</v>
      </c>
      <c r="C132" s="24" t="s">
        <v>45</v>
      </c>
      <c r="D132" s="25">
        <v>1</v>
      </c>
      <c r="E132" s="23" t="s">
        <v>58</v>
      </c>
      <c r="F132" s="25">
        <v>39</v>
      </c>
      <c r="G132" s="23" t="s">
        <v>47</v>
      </c>
      <c r="H132" s="24" t="s">
        <v>48</v>
      </c>
      <c r="I132" s="25" t="str">
        <f t="shared" si="2"/>
        <v>R</v>
      </c>
      <c r="J132" s="23" t="s">
        <v>78</v>
      </c>
      <c r="K132" s="25" t="s">
        <v>50</v>
      </c>
      <c r="L132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32" s="24">
        <f>IF(DataTable[[#This Row],[3x head (H)/tail (T)?]]=DataTable[[#This Row],[then 4th: H/T/B/0]],1,0)</f>
        <v>0</v>
      </c>
      <c r="N132" s="24">
        <f>IF(DataTable[[#This Row],[then 4th: H/T/B/0]]="B",1,0)</f>
        <v>1</v>
      </c>
      <c r="O132" s="23" t="s">
        <v>198</v>
      </c>
      <c r="P132" s="24">
        <v>14</v>
      </c>
      <c r="Q132" s="26" t="s">
        <v>405</v>
      </c>
      <c r="R132" s="25" t="s">
        <v>53</v>
      </c>
      <c r="S132" s="27" t="s">
        <v>103</v>
      </c>
      <c r="T132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5</v>
      </c>
      <c r="U132" s="28" t="s">
        <v>213</v>
      </c>
      <c r="V132" s="29" t="s">
        <v>11</v>
      </c>
      <c r="W132" s="29"/>
      <c r="X132" s="27"/>
      <c r="Y132" s="27">
        <f>IF(DataTable[[#This Row],[explanation1]]="BL",1,IF(DataTable[[#This Row],[explanation2]]="BL",1,IF(DataTable[[#This Row],[explanation1]]="BR",1,IF(DataTable[[#This Row],[explanation2]]="BR",1,0))))</f>
        <v>0</v>
      </c>
      <c r="Z132" s="18">
        <f>IF(DataTable[[#This Row],[explanation1]]="BL",1,IF(DataTable[[#This Row],[explanation2]]="BL",1,0))</f>
        <v>0</v>
      </c>
      <c r="AA132" s="18">
        <f>IF(DataTable[[#This Row],[explanation1]]="WJ",1,IF(DataTable[[#This Row],[explanation2]]="WJ",1,0))</f>
        <v>0</v>
      </c>
      <c r="AB132" s="18">
        <f>IF(DataTable[[#This Row],[explanation1]]="U",1,IF(DataTable[[#This Row],[explanation2]]="U",1,0))</f>
        <v>0</v>
      </c>
      <c r="AC132" s="18">
        <f>IF(DataTable[[#This Row],[explanation1]]="O",1,IF(DataTable[[#This Row],[explanation2]]="O",1,0))</f>
        <v>0</v>
      </c>
      <c r="AD132" s="18">
        <f>IF(DataTable[[#This Row],[explanation1]]="TP",1,IF(DataTable[[#This Row],[explanation2]]="TP",1,0))</f>
        <v>0</v>
      </c>
      <c r="AE132" s="18">
        <f>IF(DataTable[[#This Row],[explanation1]]="WP",1,IF(DataTable[[#This Row],[explanation2]]="WP",1,0))</f>
        <v>1</v>
      </c>
      <c r="AF132" s="18">
        <f>IF(DataTable[[#This Row],[explanation1]]="BR",1,IF(DataTable[[#This Row],[explanation2]]="BR",1,0))</f>
        <v>0</v>
      </c>
      <c r="AG132" s="18">
        <f>IF(DataTable[[#This Row],[explanation1]]="LS",1,IF(DataTable[[#This Row],[explanation2]]="LS",1,0))</f>
        <v>0</v>
      </c>
      <c r="AH132" s="29" t="s">
        <v>11</v>
      </c>
    </row>
    <row r="133" spans="1:34" x14ac:dyDescent="0.2">
      <c r="A133" s="13">
        <v>131</v>
      </c>
      <c r="B133" s="14" t="s">
        <v>64</v>
      </c>
      <c r="C133" s="15" t="s">
        <v>45</v>
      </c>
      <c r="D133" s="16">
        <v>1</v>
      </c>
      <c r="E133" s="14" t="s">
        <v>46</v>
      </c>
      <c r="F133" s="16">
        <v>66</v>
      </c>
      <c r="G133" s="14" t="s">
        <v>47</v>
      </c>
      <c r="H133" s="15" t="s">
        <v>48</v>
      </c>
      <c r="I133" s="16" t="str">
        <f t="shared" si="2"/>
        <v>R</v>
      </c>
      <c r="J133" s="14" t="s">
        <v>78</v>
      </c>
      <c r="K133" s="16" t="s">
        <v>49</v>
      </c>
      <c r="L133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133" s="15">
        <f>IF(DataTable[[#This Row],[3x head (H)/tail (T)?]]=DataTable[[#This Row],[then 4th: H/T/B/0]],1,0)</f>
        <v>0</v>
      </c>
      <c r="N133" s="15">
        <f>IF(DataTable[[#This Row],[then 4th: H/T/B/0]]="B",1,0)</f>
        <v>0</v>
      </c>
      <c r="O133" s="14" t="s">
        <v>198</v>
      </c>
      <c r="P133" s="15">
        <v>14</v>
      </c>
      <c r="Q133" s="17" t="s">
        <v>405</v>
      </c>
      <c r="R133" s="16" t="s">
        <v>53</v>
      </c>
      <c r="S133" s="18" t="s">
        <v>54</v>
      </c>
      <c r="T133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133" s="19" t="s">
        <v>116</v>
      </c>
      <c r="V133" s="20" t="s">
        <v>13</v>
      </c>
      <c r="W133" s="20"/>
      <c r="X133" s="18"/>
      <c r="Y133" s="18">
        <f>IF(DataTable[[#This Row],[explanation1]]="BL",1,IF(DataTable[[#This Row],[explanation2]]="BL",1,IF(DataTable[[#This Row],[explanation1]]="BR",1,IF(DataTable[[#This Row],[explanation2]]="BR",1,0))))</f>
        <v>0</v>
      </c>
      <c r="Z133" s="18">
        <f>IF(DataTable[[#This Row],[explanation1]]="BL",1,IF(DataTable[[#This Row],[explanation2]]="BL",1,0))</f>
        <v>0</v>
      </c>
      <c r="AA133" s="18">
        <f>IF(DataTable[[#This Row],[explanation1]]="WJ",1,IF(DataTable[[#This Row],[explanation2]]="WJ",1,0))</f>
        <v>0</v>
      </c>
      <c r="AB133" s="18">
        <f>IF(DataTable[[#This Row],[explanation1]]="U",1,IF(DataTable[[#This Row],[explanation2]]="U",1,0))</f>
        <v>0</v>
      </c>
      <c r="AC133" s="18">
        <f>IF(DataTable[[#This Row],[explanation1]]="O",1,IF(DataTable[[#This Row],[explanation2]]="O",1,0))</f>
        <v>0</v>
      </c>
      <c r="AD133" s="18">
        <f>IF(DataTable[[#This Row],[explanation1]]="TP",1,IF(DataTable[[#This Row],[explanation2]]="TP",1,0))</f>
        <v>0</v>
      </c>
      <c r="AE133" s="18">
        <f>IF(DataTable[[#This Row],[explanation1]]="WP",1,IF(DataTable[[#This Row],[explanation2]]="WP",1,0))</f>
        <v>0</v>
      </c>
      <c r="AF133" s="18">
        <f>IF(DataTable[[#This Row],[explanation1]]="BR",1,IF(DataTable[[#This Row],[explanation2]]="BR",1,0))</f>
        <v>0</v>
      </c>
      <c r="AG133" s="18">
        <f>IF(DataTable[[#This Row],[explanation1]]="LS",1,IF(DataTable[[#This Row],[explanation2]]="LS",1,0))</f>
        <v>1</v>
      </c>
      <c r="AH133" s="20" t="s">
        <v>215</v>
      </c>
    </row>
    <row r="134" spans="1:34" x14ac:dyDescent="0.2">
      <c r="A134" s="22">
        <v>132</v>
      </c>
      <c r="B134" s="23" t="s">
        <v>64</v>
      </c>
      <c r="C134" s="24" t="s">
        <v>45</v>
      </c>
      <c r="D134" s="25">
        <v>1</v>
      </c>
      <c r="E134" s="23" t="s">
        <v>58</v>
      </c>
      <c r="F134" s="25">
        <v>66</v>
      </c>
      <c r="G134" s="23" t="s">
        <v>47</v>
      </c>
      <c r="H134" s="24" t="s">
        <v>48</v>
      </c>
      <c r="I134" s="25" t="str">
        <f t="shared" si="2"/>
        <v>R</v>
      </c>
      <c r="J134" s="23" t="s">
        <v>78</v>
      </c>
      <c r="K134" s="25" t="s">
        <v>49</v>
      </c>
      <c r="L134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134" s="24">
        <f>IF(DataTable[[#This Row],[3x head (H)/tail (T)?]]=DataTable[[#This Row],[then 4th: H/T/B/0]],1,0)</f>
        <v>0</v>
      </c>
      <c r="N134" s="24">
        <f>IF(DataTable[[#This Row],[then 4th: H/T/B/0]]="B",1,0)</f>
        <v>0</v>
      </c>
      <c r="O134" s="23" t="s">
        <v>198</v>
      </c>
      <c r="P134" s="24">
        <v>14</v>
      </c>
      <c r="Q134" s="26" t="s">
        <v>405</v>
      </c>
      <c r="R134" s="25" t="s">
        <v>53</v>
      </c>
      <c r="S134" s="27" t="s">
        <v>75</v>
      </c>
      <c r="T134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134" s="28" t="s">
        <v>76</v>
      </c>
      <c r="V134" s="29" t="s">
        <v>8</v>
      </c>
      <c r="W134" s="29"/>
      <c r="X134" s="27"/>
      <c r="Y134" s="27">
        <f>IF(DataTable[[#This Row],[explanation1]]="BL",1,IF(DataTable[[#This Row],[explanation2]]="BL",1,IF(DataTable[[#This Row],[explanation1]]="BR",1,IF(DataTable[[#This Row],[explanation2]]="BR",1,0))))</f>
        <v>0</v>
      </c>
      <c r="Z134" s="18">
        <f>IF(DataTable[[#This Row],[explanation1]]="BL",1,IF(DataTable[[#This Row],[explanation2]]="BL",1,0))</f>
        <v>0</v>
      </c>
      <c r="AA134" s="18">
        <f>IF(DataTable[[#This Row],[explanation1]]="WJ",1,IF(DataTable[[#This Row],[explanation2]]="WJ",1,0))</f>
        <v>0</v>
      </c>
      <c r="AB134" s="18">
        <f>IF(DataTable[[#This Row],[explanation1]]="U",1,IF(DataTable[[#This Row],[explanation2]]="U",1,0))</f>
        <v>1</v>
      </c>
      <c r="AC134" s="18">
        <f>IF(DataTable[[#This Row],[explanation1]]="O",1,IF(DataTable[[#This Row],[explanation2]]="O",1,0))</f>
        <v>0</v>
      </c>
      <c r="AD134" s="18">
        <f>IF(DataTable[[#This Row],[explanation1]]="TP",1,IF(DataTable[[#This Row],[explanation2]]="TP",1,0))</f>
        <v>0</v>
      </c>
      <c r="AE134" s="18">
        <f>IF(DataTable[[#This Row],[explanation1]]="WP",1,IF(DataTable[[#This Row],[explanation2]]="WP",1,0))</f>
        <v>0</v>
      </c>
      <c r="AF134" s="18">
        <f>IF(DataTable[[#This Row],[explanation1]]="BR",1,IF(DataTable[[#This Row],[explanation2]]="BR",1,0))</f>
        <v>0</v>
      </c>
      <c r="AG134" s="18">
        <f>IF(DataTable[[#This Row],[explanation1]]="LS",1,IF(DataTable[[#This Row],[explanation2]]="LS",1,0))</f>
        <v>0</v>
      </c>
      <c r="AH134" s="29" t="s">
        <v>216</v>
      </c>
    </row>
    <row r="135" spans="1:34" x14ac:dyDescent="0.2">
      <c r="A135" s="13">
        <v>133</v>
      </c>
      <c r="B135" s="14" t="s">
        <v>64</v>
      </c>
      <c r="C135" s="15" t="s">
        <v>45</v>
      </c>
      <c r="D135" s="16">
        <v>1</v>
      </c>
      <c r="E135" s="14" t="s">
        <v>46</v>
      </c>
      <c r="F135" s="16">
        <v>35</v>
      </c>
      <c r="G135" s="14" t="s">
        <v>47</v>
      </c>
      <c r="H135" s="15" t="s">
        <v>81</v>
      </c>
      <c r="I135" s="16" t="str">
        <f t="shared" si="2"/>
        <v>M1</v>
      </c>
      <c r="J135" s="14" t="s">
        <v>78</v>
      </c>
      <c r="K135" s="16" t="s">
        <v>50</v>
      </c>
      <c r="L135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35" s="15">
        <f>IF(DataTable[[#This Row],[3x head (H)/tail (T)?]]=DataTable[[#This Row],[then 4th: H/T/B/0]],1,0)</f>
        <v>0</v>
      </c>
      <c r="N135" s="15">
        <f>IF(DataTable[[#This Row],[then 4th: H/T/B/0]]="B",1,0)</f>
        <v>1</v>
      </c>
      <c r="O135" s="14" t="s">
        <v>198</v>
      </c>
      <c r="P135" s="15">
        <v>14</v>
      </c>
      <c r="Q135" s="17" t="s">
        <v>405</v>
      </c>
      <c r="R135" s="16" t="s">
        <v>53</v>
      </c>
      <c r="S135" s="18" t="s">
        <v>65</v>
      </c>
      <c r="T135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135" s="19" t="s">
        <v>95</v>
      </c>
      <c r="V135" s="20" t="s">
        <v>7</v>
      </c>
      <c r="W135" s="20"/>
      <c r="X135" s="18"/>
      <c r="Y135" s="18">
        <f>IF(DataTable[[#This Row],[explanation1]]="BL",1,IF(DataTable[[#This Row],[explanation2]]="BL",1,IF(DataTable[[#This Row],[explanation1]]="BR",1,IF(DataTable[[#This Row],[explanation2]]="BR",1,0))))</f>
        <v>0</v>
      </c>
      <c r="Z135" s="18">
        <f>IF(DataTable[[#This Row],[explanation1]]="BL",1,IF(DataTable[[#This Row],[explanation2]]="BL",1,0))</f>
        <v>0</v>
      </c>
      <c r="AA135" s="18">
        <f>IF(DataTable[[#This Row],[explanation1]]="WJ",1,IF(DataTable[[#This Row],[explanation2]]="WJ",1,0))</f>
        <v>1</v>
      </c>
      <c r="AB135" s="18">
        <f>IF(DataTable[[#This Row],[explanation1]]="U",1,IF(DataTable[[#This Row],[explanation2]]="U",1,0))</f>
        <v>0</v>
      </c>
      <c r="AC135" s="18">
        <f>IF(DataTable[[#This Row],[explanation1]]="O",1,IF(DataTable[[#This Row],[explanation2]]="O",1,0))</f>
        <v>0</v>
      </c>
      <c r="AD135" s="18">
        <f>IF(DataTable[[#This Row],[explanation1]]="TP",1,IF(DataTable[[#This Row],[explanation2]]="TP",1,0))</f>
        <v>0</v>
      </c>
      <c r="AE135" s="18">
        <f>IF(DataTable[[#This Row],[explanation1]]="WP",1,IF(DataTable[[#This Row],[explanation2]]="WP",1,0))</f>
        <v>0</v>
      </c>
      <c r="AF135" s="18">
        <f>IF(DataTable[[#This Row],[explanation1]]="BR",1,IF(DataTable[[#This Row],[explanation2]]="BR",1,0))</f>
        <v>0</v>
      </c>
      <c r="AG135" s="18">
        <f>IF(DataTable[[#This Row],[explanation1]]="LS",1,IF(DataTable[[#This Row],[explanation2]]="LS",1,0))</f>
        <v>0</v>
      </c>
      <c r="AH135" s="20" t="s">
        <v>7</v>
      </c>
    </row>
    <row r="136" spans="1:34" x14ac:dyDescent="0.2">
      <c r="A136" s="22">
        <v>134</v>
      </c>
      <c r="B136" s="23" t="s">
        <v>57</v>
      </c>
      <c r="C136" s="24" t="s">
        <v>45</v>
      </c>
      <c r="D136" s="25">
        <v>1</v>
      </c>
      <c r="E136" s="23" t="s">
        <v>58</v>
      </c>
      <c r="F136" s="25">
        <v>49</v>
      </c>
      <c r="G136" s="23" t="s">
        <v>47</v>
      </c>
      <c r="H136" s="24" t="s">
        <v>48</v>
      </c>
      <c r="I136" s="25" t="str">
        <f t="shared" si="2"/>
        <v>R</v>
      </c>
      <c r="J136" s="23" t="s">
        <v>78</v>
      </c>
      <c r="K136" s="25" t="s">
        <v>78</v>
      </c>
      <c r="L136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36" s="24">
        <f>IF(DataTable[[#This Row],[3x head (H)/tail (T)?]]=DataTable[[#This Row],[then 4th: H/T/B/0]],1,0)</f>
        <v>1</v>
      </c>
      <c r="N136" s="24">
        <f>IF(DataTable[[#This Row],[then 4th: H/T/B/0]]="B",1,0)</f>
        <v>0</v>
      </c>
      <c r="O136" s="23" t="s">
        <v>198</v>
      </c>
      <c r="P136" s="24">
        <v>14</v>
      </c>
      <c r="Q136" s="26" t="s">
        <v>405</v>
      </c>
      <c r="R136" s="25" t="s">
        <v>53</v>
      </c>
      <c r="S136" s="27" t="s">
        <v>65</v>
      </c>
      <c r="T136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136" s="28" t="s">
        <v>129</v>
      </c>
      <c r="V136" s="29" t="s">
        <v>8</v>
      </c>
      <c r="W136" s="29"/>
      <c r="X136" s="27" t="s">
        <v>217</v>
      </c>
      <c r="Y136" s="27">
        <f>IF(DataTable[[#This Row],[explanation1]]="BL",1,IF(DataTable[[#This Row],[explanation2]]="BL",1,IF(DataTable[[#This Row],[explanation1]]="BR",1,IF(DataTable[[#This Row],[explanation2]]="BR",1,0))))</f>
        <v>0</v>
      </c>
      <c r="Z136" s="18">
        <f>IF(DataTable[[#This Row],[explanation1]]="BL",1,IF(DataTable[[#This Row],[explanation2]]="BL",1,0))</f>
        <v>0</v>
      </c>
      <c r="AA136" s="18">
        <f>IF(DataTable[[#This Row],[explanation1]]="WJ",1,IF(DataTable[[#This Row],[explanation2]]="WJ",1,0))</f>
        <v>0</v>
      </c>
      <c r="AB136" s="18">
        <f>IF(DataTable[[#This Row],[explanation1]]="U",1,IF(DataTable[[#This Row],[explanation2]]="U",1,0))</f>
        <v>1</v>
      </c>
      <c r="AC136" s="18">
        <f>IF(DataTable[[#This Row],[explanation1]]="O",1,IF(DataTable[[#This Row],[explanation2]]="O",1,0))</f>
        <v>0</v>
      </c>
      <c r="AD136" s="18">
        <f>IF(DataTable[[#This Row],[explanation1]]="TP",1,IF(DataTable[[#This Row],[explanation2]]="TP",1,0))</f>
        <v>0</v>
      </c>
      <c r="AE136" s="18">
        <f>IF(DataTable[[#This Row],[explanation1]]="WP",1,IF(DataTable[[#This Row],[explanation2]]="WP",1,0))</f>
        <v>0</v>
      </c>
      <c r="AF136" s="18">
        <f>IF(DataTable[[#This Row],[explanation1]]="BR",1,IF(DataTable[[#This Row],[explanation2]]="BR",1,0))</f>
        <v>0</v>
      </c>
      <c r="AG136" s="18">
        <f>IF(DataTable[[#This Row],[explanation1]]="LS",1,IF(DataTable[[#This Row],[explanation2]]="LS",1,0))</f>
        <v>0</v>
      </c>
      <c r="AH136" s="29" t="s">
        <v>218</v>
      </c>
    </row>
    <row r="137" spans="1:34" x14ac:dyDescent="0.2">
      <c r="A137" s="13">
        <v>135</v>
      </c>
      <c r="B137" s="14" t="s">
        <v>57</v>
      </c>
      <c r="C137" s="15" t="s">
        <v>45</v>
      </c>
      <c r="D137" s="16">
        <v>1</v>
      </c>
      <c r="E137" s="14" t="s">
        <v>58</v>
      </c>
      <c r="F137" s="16">
        <v>39</v>
      </c>
      <c r="G137" s="14" t="s">
        <v>47</v>
      </c>
      <c r="H137" s="15" t="s">
        <v>48</v>
      </c>
      <c r="I137" s="16" t="str">
        <f t="shared" si="2"/>
        <v>R</v>
      </c>
      <c r="J137" s="14" t="s">
        <v>78</v>
      </c>
      <c r="K137" s="16" t="s">
        <v>49</v>
      </c>
      <c r="L137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137" s="15">
        <f>IF(DataTable[[#This Row],[3x head (H)/tail (T)?]]=DataTable[[#This Row],[then 4th: H/T/B/0]],1,0)</f>
        <v>0</v>
      </c>
      <c r="N137" s="15">
        <f>IF(DataTable[[#This Row],[then 4th: H/T/B/0]]="B",1,0)</f>
        <v>0</v>
      </c>
      <c r="O137" s="14" t="s">
        <v>198</v>
      </c>
      <c r="P137" s="15">
        <v>14</v>
      </c>
      <c r="Q137" s="17" t="s">
        <v>405</v>
      </c>
      <c r="R137" s="16" t="s">
        <v>53</v>
      </c>
      <c r="S137" s="18" t="s">
        <v>65</v>
      </c>
      <c r="T137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137" s="19" t="s">
        <v>95</v>
      </c>
      <c r="V137" s="20" t="s">
        <v>13</v>
      </c>
      <c r="W137" s="20"/>
      <c r="X137" s="18"/>
      <c r="Y137" s="18">
        <f>IF(DataTable[[#This Row],[explanation1]]="BL",1,IF(DataTable[[#This Row],[explanation2]]="BL",1,IF(DataTable[[#This Row],[explanation1]]="BR",1,IF(DataTable[[#This Row],[explanation2]]="BR",1,0))))</f>
        <v>0</v>
      </c>
      <c r="Z137" s="18">
        <f>IF(DataTable[[#This Row],[explanation1]]="BL",1,IF(DataTable[[#This Row],[explanation2]]="BL",1,0))</f>
        <v>0</v>
      </c>
      <c r="AA137" s="18">
        <f>IF(DataTable[[#This Row],[explanation1]]="WJ",1,IF(DataTable[[#This Row],[explanation2]]="WJ",1,0))</f>
        <v>0</v>
      </c>
      <c r="AB137" s="18">
        <f>IF(DataTable[[#This Row],[explanation1]]="U",1,IF(DataTable[[#This Row],[explanation2]]="U",1,0))</f>
        <v>0</v>
      </c>
      <c r="AC137" s="18">
        <f>IF(DataTable[[#This Row],[explanation1]]="O",1,IF(DataTable[[#This Row],[explanation2]]="O",1,0))</f>
        <v>0</v>
      </c>
      <c r="AD137" s="18">
        <f>IF(DataTable[[#This Row],[explanation1]]="TP",1,IF(DataTable[[#This Row],[explanation2]]="TP",1,0))</f>
        <v>0</v>
      </c>
      <c r="AE137" s="18">
        <f>IF(DataTable[[#This Row],[explanation1]]="WP",1,IF(DataTable[[#This Row],[explanation2]]="WP",1,0))</f>
        <v>0</v>
      </c>
      <c r="AF137" s="18">
        <f>IF(DataTable[[#This Row],[explanation1]]="BR",1,IF(DataTable[[#This Row],[explanation2]]="BR",1,0))</f>
        <v>0</v>
      </c>
      <c r="AG137" s="18">
        <f>IF(DataTable[[#This Row],[explanation1]]="LS",1,IF(DataTable[[#This Row],[explanation2]]="LS",1,0))</f>
        <v>1</v>
      </c>
      <c r="AH137" s="20" t="s">
        <v>219</v>
      </c>
    </row>
    <row r="138" spans="1:34" x14ac:dyDescent="0.2">
      <c r="A138" s="22">
        <v>136</v>
      </c>
      <c r="B138" s="23" t="s">
        <v>57</v>
      </c>
      <c r="C138" s="24" t="s">
        <v>45</v>
      </c>
      <c r="D138" s="25">
        <v>1</v>
      </c>
      <c r="E138" s="23" t="s">
        <v>46</v>
      </c>
      <c r="F138" s="25">
        <v>40</v>
      </c>
      <c r="G138" s="23" t="s">
        <v>57</v>
      </c>
      <c r="H138" s="24" t="s">
        <v>48</v>
      </c>
      <c r="I138" s="25" t="str">
        <f t="shared" si="2"/>
        <v>H1</v>
      </c>
      <c r="J138" s="23" t="s">
        <v>78</v>
      </c>
      <c r="K138" s="25" t="s">
        <v>50</v>
      </c>
      <c r="L138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38" s="24">
        <f>IF(DataTable[[#This Row],[3x head (H)/tail (T)?]]=DataTable[[#This Row],[then 4th: H/T/B/0]],1,0)</f>
        <v>0</v>
      </c>
      <c r="N138" s="24">
        <f>IF(DataTable[[#This Row],[then 4th: H/T/B/0]]="B",1,0)</f>
        <v>1</v>
      </c>
      <c r="O138" s="23" t="s">
        <v>198</v>
      </c>
      <c r="P138" s="24">
        <v>14</v>
      </c>
      <c r="Q138" s="26" t="s">
        <v>405</v>
      </c>
      <c r="R138" s="25" t="s">
        <v>53</v>
      </c>
      <c r="S138" s="27" t="s">
        <v>54</v>
      </c>
      <c r="T138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138" s="28" t="s">
        <v>116</v>
      </c>
      <c r="V138" s="29" t="s">
        <v>13</v>
      </c>
      <c r="W138" s="29" t="s">
        <v>8</v>
      </c>
      <c r="X138" s="27" t="s">
        <v>204</v>
      </c>
      <c r="Y138" s="27">
        <f>IF(DataTable[[#This Row],[explanation1]]="BL",1,IF(DataTable[[#This Row],[explanation2]]="BL",1,IF(DataTable[[#This Row],[explanation1]]="BR",1,IF(DataTable[[#This Row],[explanation2]]="BR",1,0))))</f>
        <v>0</v>
      </c>
      <c r="Z138" s="18">
        <f>IF(DataTable[[#This Row],[explanation1]]="BL",1,IF(DataTable[[#This Row],[explanation2]]="BL",1,0))</f>
        <v>0</v>
      </c>
      <c r="AA138" s="18">
        <f>IF(DataTable[[#This Row],[explanation1]]="WJ",1,IF(DataTable[[#This Row],[explanation2]]="WJ",1,0))</f>
        <v>0</v>
      </c>
      <c r="AB138" s="18">
        <f>IF(DataTable[[#This Row],[explanation1]]="U",1,IF(DataTable[[#This Row],[explanation2]]="U",1,0))</f>
        <v>1</v>
      </c>
      <c r="AC138" s="18">
        <f>IF(DataTable[[#This Row],[explanation1]]="O",1,IF(DataTable[[#This Row],[explanation2]]="O",1,0))</f>
        <v>0</v>
      </c>
      <c r="AD138" s="18">
        <f>IF(DataTable[[#This Row],[explanation1]]="TP",1,IF(DataTable[[#This Row],[explanation2]]="TP",1,0))</f>
        <v>0</v>
      </c>
      <c r="AE138" s="18">
        <f>IF(DataTable[[#This Row],[explanation1]]="WP",1,IF(DataTable[[#This Row],[explanation2]]="WP",1,0))</f>
        <v>0</v>
      </c>
      <c r="AF138" s="18">
        <f>IF(DataTable[[#This Row],[explanation1]]="BR",1,IF(DataTable[[#This Row],[explanation2]]="BR",1,0))</f>
        <v>0</v>
      </c>
      <c r="AG138" s="18">
        <f>IF(DataTable[[#This Row],[explanation1]]="LS",1,IF(DataTable[[#This Row],[explanation2]]="LS",1,0))</f>
        <v>1</v>
      </c>
      <c r="AH138" s="29" t="s">
        <v>220</v>
      </c>
    </row>
    <row r="139" spans="1:34" x14ac:dyDescent="0.2">
      <c r="A139" s="13">
        <v>137</v>
      </c>
      <c r="B139" s="14" t="s">
        <v>57</v>
      </c>
      <c r="C139" s="15" t="s">
        <v>45</v>
      </c>
      <c r="D139" s="16">
        <v>1</v>
      </c>
      <c r="E139" s="14" t="s">
        <v>58</v>
      </c>
      <c r="F139" s="16">
        <v>40</v>
      </c>
      <c r="G139" s="14" t="s">
        <v>57</v>
      </c>
      <c r="H139" s="15" t="s">
        <v>48</v>
      </c>
      <c r="I139" s="16" t="str">
        <f t="shared" si="2"/>
        <v>H1</v>
      </c>
      <c r="J139" s="14" t="s">
        <v>78</v>
      </c>
      <c r="K139" s="16" t="s">
        <v>49</v>
      </c>
      <c r="L139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139" s="15">
        <f>IF(DataTable[[#This Row],[3x head (H)/tail (T)?]]=DataTable[[#This Row],[then 4th: H/T/B/0]],1,0)</f>
        <v>0</v>
      </c>
      <c r="N139" s="15">
        <f>IF(DataTable[[#This Row],[then 4th: H/T/B/0]]="B",1,0)</f>
        <v>0</v>
      </c>
      <c r="O139" s="14" t="s">
        <v>198</v>
      </c>
      <c r="P139" s="15">
        <v>14</v>
      </c>
      <c r="Q139" s="17" t="s">
        <v>405</v>
      </c>
      <c r="R139" s="16" t="s">
        <v>53</v>
      </c>
      <c r="S139" s="18" t="s">
        <v>65</v>
      </c>
      <c r="T139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139" s="19" t="s">
        <v>95</v>
      </c>
      <c r="V139" s="20" t="s">
        <v>8</v>
      </c>
      <c r="W139" s="20"/>
      <c r="X139" s="20" t="s">
        <v>221</v>
      </c>
      <c r="Y139" s="20">
        <f>IF(DataTable[[#This Row],[explanation1]]="BL",1,IF(DataTable[[#This Row],[explanation2]]="BL",1,IF(DataTable[[#This Row],[explanation1]]="BR",1,IF(DataTable[[#This Row],[explanation2]]="BR",1,0))))</f>
        <v>0</v>
      </c>
      <c r="Z139" s="18">
        <f>IF(DataTable[[#This Row],[explanation1]]="BL",1,IF(DataTable[[#This Row],[explanation2]]="BL",1,0))</f>
        <v>0</v>
      </c>
      <c r="AA139" s="18">
        <f>IF(DataTable[[#This Row],[explanation1]]="WJ",1,IF(DataTable[[#This Row],[explanation2]]="WJ",1,0))</f>
        <v>0</v>
      </c>
      <c r="AB139" s="18">
        <f>IF(DataTable[[#This Row],[explanation1]]="U",1,IF(DataTable[[#This Row],[explanation2]]="U",1,0))</f>
        <v>1</v>
      </c>
      <c r="AC139" s="18">
        <f>IF(DataTable[[#This Row],[explanation1]]="O",1,IF(DataTable[[#This Row],[explanation2]]="O",1,0))</f>
        <v>0</v>
      </c>
      <c r="AD139" s="18">
        <f>IF(DataTable[[#This Row],[explanation1]]="TP",1,IF(DataTable[[#This Row],[explanation2]]="TP",1,0))</f>
        <v>0</v>
      </c>
      <c r="AE139" s="18">
        <f>IF(DataTable[[#This Row],[explanation1]]="WP",1,IF(DataTable[[#This Row],[explanation2]]="WP",1,0))</f>
        <v>0</v>
      </c>
      <c r="AF139" s="18">
        <f>IF(DataTable[[#This Row],[explanation1]]="BR",1,IF(DataTable[[#This Row],[explanation2]]="BR",1,0))</f>
        <v>0</v>
      </c>
      <c r="AG139" s="18">
        <f>IF(DataTable[[#This Row],[explanation1]]="LS",1,IF(DataTable[[#This Row],[explanation2]]="LS",1,0))</f>
        <v>0</v>
      </c>
      <c r="AH139" s="20" t="s">
        <v>222</v>
      </c>
    </row>
    <row r="140" spans="1:34" x14ac:dyDescent="0.2">
      <c r="A140" s="22">
        <v>138</v>
      </c>
      <c r="B140" s="23" t="s">
        <v>44</v>
      </c>
      <c r="C140" s="24" t="s">
        <v>74</v>
      </c>
      <c r="D140" s="25">
        <v>50</v>
      </c>
      <c r="E140" s="23" t="s">
        <v>58</v>
      </c>
      <c r="F140" s="25">
        <v>22</v>
      </c>
      <c r="G140" s="23" t="s">
        <v>44</v>
      </c>
      <c r="H140" s="24" t="s">
        <v>48</v>
      </c>
      <c r="I140" s="25" t="str">
        <f t="shared" si="2"/>
        <v>L1</v>
      </c>
      <c r="J140" s="23" t="s">
        <v>78</v>
      </c>
      <c r="K140" s="25" t="s">
        <v>49</v>
      </c>
      <c r="L140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140" s="24">
        <f>IF(DataTable[[#This Row],[3x head (H)/tail (T)?]]=DataTable[[#This Row],[then 4th: H/T/B/0]],1,0)</f>
        <v>0</v>
      </c>
      <c r="N140" s="24">
        <f>IF(DataTable[[#This Row],[then 4th: H/T/B/0]]="B",1,0)</f>
        <v>0</v>
      </c>
      <c r="O140" s="23" t="s">
        <v>198</v>
      </c>
      <c r="P140" s="24">
        <v>14</v>
      </c>
      <c r="Q140" s="26" t="s">
        <v>405</v>
      </c>
      <c r="R140" s="25" t="s">
        <v>53</v>
      </c>
      <c r="S140" s="27" t="s">
        <v>75</v>
      </c>
      <c r="T140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140" s="28" t="s">
        <v>76</v>
      </c>
      <c r="V140" s="29" t="s">
        <v>13</v>
      </c>
      <c r="W140" s="29"/>
      <c r="X140" s="27"/>
      <c r="Y140" s="27">
        <f>IF(DataTable[[#This Row],[explanation1]]="BL",1,IF(DataTable[[#This Row],[explanation2]]="BL",1,IF(DataTable[[#This Row],[explanation1]]="BR",1,IF(DataTable[[#This Row],[explanation2]]="BR",1,0))))</f>
        <v>0</v>
      </c>
      <c r="Z140" s="18">
        <f>IF(DataTable[[#This Row],[explanation1]]="BL",1,IF(DataTable[[#This Row],[explanation2]]="BL",1,0))</f>
        <v>0</v>
      </c>
      <c r="AA140" s="18">
        <f>IF(DataTable[[#This Row],[explanation1]]="WJ",1,IF(DataTable[[#This Row],[explanation2]]="WJ",1,0))</f>
        <v>0</v>
      </c>
      <c r="AB140" s="18">
        <f>IF(DataTable[[#This Row],[explanation1]]="U",1,IF(DataTable[[#This Row],[explanation2]]="U",1,0))</f>
        <v>0</v>
      </c>
      <c r="AC140" s="18">
        <f>IF(DataTable[[#This Row],[explanation1]]="O",1,IF(DataTable[[#This Row],[explanation2]]="O",1,0))</f>
        <v>0</v>
      </c>
      <c r="AD140" s="18">
        <f>IF(DataTable[[#This Row],[explanation1]]="TP",1,IF(DataTable[[#This Row],[explanation2]]="TP",1,0))</f>
        <v>0</v>
      </c>
      <c r="AE140" s="18">
        <f>IF(DataTable[[#This Row],[explanation1]]="WP",1,IF(DataTable[[#This Row],[explanation2]]="WP",1,0))</f>
        <v>0</v>
      </c>
      <c r="AF140" s="18">
        <f>IF(DataTable[[#This Row],[explanation1]]="BR",1,IF(DataTable[[#This Row],[explanation2]]="BR",1,0))</f>
        <v>0</v>
      </c>
      <c r="AG140" s="18">
        <f>IF(DataTable[[#This Row],[explanation1]]="LS",1,IF(DataTable[[#This Row],[explanation2]]="LS",1,0))</f>
        <v>1</v>
      </c>
      <c r="AH140" s="29" t="s">
        <v>223</v>
      </c>
    </row>
    <row r="141" spans="1:34" x14ac:dyDescent="0.2">
      <c r="A141" s="13">
        <v>139</v>
      </c>
      <c r="B141" s="14" t="s">
        <v>44</v>
      </c>
      <c r="C141" s="15" t="s">
        <v>74</v>
      </c>
      <c r="D141" s="16">
        <v>50</v>
      </c>
      <c r="E141" s="14" t="s">
        <v>46</v>
      </c>
      <c r="F141" s="16">
        <v>28</v>
      </c>
      <c r="G141" s="14" t="s">
        <v>47</v>
      </c>
      <c r="H141" s="15" t="s">
        <v>48</v>
      </c>
      <c r="I141" s="16" t="str">
        <f t="shared" si="2"/>
        <v>R</v>
      </c>
      <c r="J141" s="14" t="s">
        <v>78</v>
      </c>
      <c r="K141" s="16" t="s">
        <v>50</v>
      </c>
      <c r="L141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41" s="15">
        <f>IF(DataTable[[#This Row],[3x head (H)/tail (T)?]]=DataTable[[#This Row],[then 4th: H/T/B/0]],1,0)</f>
        <v>0</v>
      </c>
      <c r="N141" s="15">
        <f>IF(DataTable[[#This Row],[then 4th: H/T/B/0]]="B",1,0)</f>
        <v>1</v>
      </c>
      <c r="O141" s="14" t="s">
        <v>198</v>
      </c>
      <c r="P141" s="15">
        <v>14</v>
      </c>
      <c r="Q141" s="17" t="s">
        <v>405</v>
      </c>
      <c r="R141" s="16" t="s">
        <v>53</v>
      </c>
      <c r="S141" s="18" t="s">
        <v>75</v>
      </c>
      <c r="T141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141" s="19" t="s">
        <v>76</v>
      </c>
      <c r="V141" s="20" t="s">
        <v>6</v>
      </c>
      <c r="W141" s="20" t="s">
        <v>13</v>
      </c>
      <c r="X141" s="18" t="s">
        <v>179</v>
      </c>
      <c r="Y141" s="18">
        <f>IF(DataTable[[#This Row],[explanation1]]="BL",1,IF(DataTable[[#This Row],[explanation2]]="BL",1,IF(DataTable[[#This Row],[explanation1]]="BR",1,IF(DataTable[[#This Row],[explanation2]]="BR",1,0))))</f>
        <v>1</v>
      </c>
      <c r="Z141" s="18">
        <f>IF(DataTable[[#This Row],[explanation1]]="BL",1,IF(DataTable[[#This Row],[explanation2]]="BL",1,0))</f>
        <v>1</v>
      </c>
      <c r="AA141" s="18">
        <f>IF(DataTable[[#This Row],[explanation1]]="WJ",1,IF(DataTable[[#This Row],[explanation2]]="WJ",1,0))</f>
        <v>0</v>
      </c>
      <c r="AB141" s="18">
        <f>IF(DataTable[[#This Row],[explanation1]]="U",1,IF(DataTable[[#This Row],[explanation2]]="U",1,0))</f>
        <v>0</v>
      </c>
      <c r="AC141" s="18">
        <f>IF(DataTable[[#This Row],[explanation1]]="O",1,IF(DataTable[[#This Row],[explanation2]]="O",1,0))</f>
        <v>0</v>
      </c>
      <c r="AD141" s="18">
        <f>IF(DataTable[[#This Row],[explanation1]]="TP",1,IF(DataTable[[#This Row],[explanation2]]="TP",1,0))</f>
        <v>0</v>
      </c>
      <c r="AE141" s="18">
        <f>IF(DataTable[[#This Row],[explanation1]]="WP",1,IF(DataTable[[#This Row],[explanation2]]="WP",1,0))</f>
        <v>0</v>
      </c>
      <c r="AF141" s="18">
        <f>IF(DataTable[[#This Row],[explanation1]]="BR",1,IF(DataTable[[#This Row],[explanation2]]="BR",1,0))</f>
        <v>0</v>
      </c>
      <c r="AG141" s="18">
        <f>IF(DataTable[[#This Row],[explanation1]]="LS",1,IF(DataTable[[#This Row],[explanation2]]="LS",1,0))</f>
        <v>1</v>
      </c>
      <c r="AH141" s="20" t="s">
        <v>224</v>
      </c>
    </row>
    <row r="142" spans="1:34" x14ac:dyDescent="0.2">
      <c r="A142" s="22">
        <v>140</v>
      </c>
      <c r="B142" s="23" t="s">
        <v>44</v>
      </c>
      <c r="C142" s="24" t="s">
        <v>74</v>
      </c>
      <c r="D142" s="25">
        <v>50</v>
      </c>
      <c r="E142" s="23" t="s">
        <v>46</v>
      </c>
      <c r="F142" s="25">
        <v>30</v>
      </c>
      <c r="G142" s="23" t="s">
        <v>47</v>
      </c>
      <c r="H142" s="24" t="s">
        <v>48</v>
      </c>
      <c r="I142" s="25" t="str">
        <f t="shared" si="2"/>
        <v>R</v>
      </c>
      <c r="J142" s="23" t="s">
        <v>78</v>
      </c>
      <c r="K142" s="25" t="s">
        <v>50</v>
      </c>
      <c r="L142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42" s="24">
        <f>IF(DataTable[[#This Row],[3x head (H)/tail (T)?]]=DataTable[[#This Row],[then 4th: H/T/B/0]],1,0)</f>
        <v>0</v>
      </c>
      <c r="N142" s="24">
        <f>IF(DataTable[[#This Row],[then 4th: H/T/B/0]]="B",1,0)</f>
        <v>1</v>
      </c>
      <c r="O142" s="23" t="s">
        <v>198</v>
      </c>
      <c r="P142" s="24">
        <v>14</v>
      </c>
      <c r="Q142" s="26" t="s">
        <v>405</v>
      </c>
      <c r="R142" s="25" t="s">
        <v>53</v>
      </c>
      <c r="S142" s="27" t="s">
        <v>65</v>
      </c>
      <c r="T142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142" s="28" t="s">
        <v>95</v>
      </c>
      <c r="V142" s="29" t="s">
        <v>6</v>
      </c>
      <c r="W142" s="29"/>
      <c r="X142" s="27"/>
      <c r="Y142" s="27">
        <f>IF(DataTable[[#This Row],[explanation1]]="BL",1,IF(DataTable[[#This Row],[explanation2]]="BL",1,IF(DataTable[[#This Row],[explanation1]]="BR",1,IF(DataTable[[#This Row],[explanation2]]="BR",1,0))))</f>
        <v>1</v>
      </c>
      <c r="Z142" s="18">
        <f>IF(DataTable[[#This Row],[explanation1]]="BL",1,IF(DataTable[[#This Row],[explanation2]]="BL",1,0))</f>
        <v>1</v>
      </c>
      <c r="AA142" s="18">
        <f>IF(DataTable[[#This Row],[explanation1]]="WJ",1,IF(DataTable[[#This Row],[explanation2]]="WJ",1,0))</f>
        <v>0</v>
      </c>
      <c r="AB142" s="18">
        <f>IF(DataTable[[#This Row],[explanation1]]="U",1,IF(DataTable[[#This Row],[explanation2]]="U",1,0))</f>
        <v>0</v>
      </c>
      <c r="AC142" s="18">
        <f>IF(DataTable[[#This Row],[explanation1]]="O",1,IF(DataTable[[#This Row],[explanation2]]="O",1,0))</f>
        <v>0</v>
      </c>
      <c r="AD142" s="18">
        <f>IF(DataTable[[#This Row],[explanation1]]="TP",1,IF(DataTable[[#This Row],[explanation2]]="TP",1,0))</f>
        <v>0</v>
      </c>
      <c r="AE142" s="18">
        <f>IF(DataTable[[#This Row],[explanation1]]="WP",1,IF(DataTable[[#This Row],[explanation2]]="WP",1,0))</f>
        <v>0</v>
      </c>
      <c r="AF142" s="18">
        <f>IF(DataTable[[#This Row],[explanation1]]="BR",1,IF(DataTable[[#This Row],[explanation2]]="BR",1,0))</f>
        <v>0</v>
      </c>
      <c r="AG142" s="18">
        <f>IF(DataTable[[#This Row],[explanation1]]="LS",1,IF(DataTable[[#This Row],[explanation2]]="LS",1,0))</f>
        <v>0</v>
      </c>
      <c r="AH142" s="29" t="s">
        <v>6</v>
      </c>
    </row>
    <row r="143" spans="1:34" x14ac:dyDescent="0.2">
      <c r="A143" s="13">
        <v>141</v>
      </c>
      <c r="B143" s="14" t="s">
        <v>44</v>
      </c>
      <c r="C143" s="15" t="s">
        <v>74</v>
      </c>
      <c r="D143" s="16">
        <v>50</v>
      </c>
      <c r="E143" s="14" t="s">
        <v>58</v>
      </c>
      <c r="F143" s="16">
        <v>23</v>
      </c>
      <c r="G143" s="14" t="s">
        <v>47</v>
      </c>
      <c r="H143" s="15" t="s">
        <v>48</v>
      </c>
      <c r="I143" s="16" t="str">
        <f t="shared" si="2"/>
        <v>R</v>
      </c>
      <c r="J143" s="14" t="s">
        <v>78</v>
      </c>
      <c r="K143" s="16" t="s">
        <v>50</v>
      </c>
      <c r="L143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43" s="15">
        <f>IF(DataTable[[#This Row],[3x head (H)/tail (T)?]]=DataTable[[#This Row],[then 4th: H/T/B/0]],1,0)</f>
        <v>0</v>
      </c>
      <c r="N143" s="15">
        <f>IF(DataTable[[#This Row],[then 4th: H/T/B/0]]="B",1,0)</f>
        <v>1</v>
      </c>
      <c r="O143" s="14" t="s">
        <v>198</v>
      </c>
      <c r="P143" s="15">
        <v>14</v>
      </c>
      <c r="Q143" s="17" t="s">
        <v>405</v>
      </c>
      <c r="R143" s="16" t="s">
        <v>53</v>
      </c>
      <c r="S143" s="18" t="s">
        <v>65</v>
      </c>
      <c r="T143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143" s="19" t="s">
        <v>95</v>
      </c>
      <c r="V143" s="20" t="s">
        <v>6</v>
      </c>
      <c r="W143" s="20"/>
      <c r="X143" s="18"/>
      <c r="Y143" s="18">
        <f>IF(DataTable[[#This Row],[explanation1]]="BL",1,IF(DataTable[[#This Row],[explanation2]]="BL",1,IF(DataTable[[#This Row],[explanation1]]="BR",1,IF(DataTable[[#This Row],[explanation2]]="BR",1,0))))</f>
        <v>1</v>
      </c>
      <c r="Z143" s="18">
        <f>IF(DataTable[[#This Row],[explanation1]]="BL",1,IF(DataTable[[#This Row],[explanation2]]="BL",1,0))</f>
        <v>1</v>
      </c>
      <c r="AA143" s="18">
        <f>IF(DataTable[[#This Row],[explanation1]]="WJ",1,IF(DataTable[[#This Row],[explanation2]]="WJ",1,0))</f>
        <v>0</v>
      </c>
      <c r="AB143" s="18">
        <f>IF(DataTable[[#This Row],[explanation1]]="U",1,IF(DataTable[[#This Row],[explanation2]]="U",1,0))</f>
        <v>0</v>
      </c>
      <c r="AC143" s="18">
        <f>IF(DataTable[[#This Row],[explanation1]]="O",1,IF(DataTable[[#This Row],[explanation2]]="O",1,0))</f>
        <v>0</v>
      </c>
      <c r="AD143" s="18">
        <f>IF(DataTable[[#This Row],[explanation1]]="TP",1,IF(DataTable[[#This Row],[explanation2]]="TP",1,0))</f>
        <v>0</v>
      </c>
      <c r="AE143" s="18">
        <f>IF(DataTable[[#This Row],[explanation1]]="WP",1,IF(DataTable[[#This Row],[explanation2]]="WP",1,0))</f>
        <v>0</v>
      </c>
      <c r="AF143" s="18">
        <f>IF(DataTable[[#This Row],[explanation1]]="BR",1,IF(DataTable[[#This Row],[explanation2]]="BR",1,0))</f>
        <v>0</v>
      </c>
      <c r="AG143" s="18">
        <f>IF(DataTable[[#This Row],[explanation1]]="LS",1,IF(DataTable[[#This Row],[explanation2]]="LS",1,0))</f>
        <v>0</v>
      </c>
      <c r="AH143" s="20" t="s">
        <v>6</v>
      </c>
    </row>
    <row r="144" spans="1:34" x14ac:dyDescent="0.2">
      <c r="A144" s="22">
        <v>142</v>
      </c>
      <c r="B144" s="23" t="s">
        <v>44</v>
      </c>
      <c r="C144" s="24" t="s">
        <v>74</v>
      </c>
      <c r="D144" s="25">
        <v>50</v>
      </c>
      <c r="E144" s="23" t="s">
        <v>58</v>
      </c>
      <c r="F144" s="25">
        <v>20</v>
      </c>
      <c r="G144" s="23" t="s">
        <v>47</v>
      </c>
      <c r="H144" s="24" t="s">
        <v>48</v>
      </c>
      <c r="I144" s="25" t="str">
        <f t="shared" si="2"/>
        <v>R</v>
      </c>
      <c r="J144" s="23" t="s">
        <v>78</v>
      </c>
      <c r="K144" s="25" t="s">
        <v>78</v>
      </c>
      <c r="L144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44" s="24">
        <f>IF(DataTable[[#This Row],[3x head (H)/tail (T)?]]=DataTable[[#This Row],[then 4th: H/T/B/0]],1,0)</f>
        <v>1</v>
      </c>
      <c r="N144" s="24">
        <f>IF(DataTable[[#This Row],[then 4th: H/T/B/0]]="B",1,0)</f>
        <v>0</v>
      </c>
      <c r="O144" s="23" t="s">
        <v>198</v>
      </c>
      <c r="P144" s="24">
        <v>14</v>
      </c>
      <c r="Q144" s="26" t="s">
        <v>405</v>
      </c>
      <c r="R144" s="25" t="s">
        <v>53</v>
      </c>
      <c r="S144" s="27" t="s">
        <v>54</v>
      </c>
      <c r="T144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144" s="28" t="s">
        <v>225</v>
      </c>
      <c r="V144" s="29" t="s">
        <v>6</v>
      </c>
      <c r="W144" s="29"/>
      <c r="X144" s="27"/>
      <c r="Y144" s="27">
        <f>IF(DataTable[[#This Row],[explanation1]]="BL",1,IF(DataTable[[#This Row],[explanation2]]="BL",1,IF(DataTable[[#This Row],[explanation1]]="BR",1,IF(DataTable[[#This Row],[explanation2]]="BR",1,0))))</f>
        <v>1</v>
      </c>
      <c r="Z144" s="18">
        <f>IF(DataTable[[#This Row],[explanation1]]="BL",1,IF(DataTable[[#This Row],[explanation2]]="BL",1,0))</f>
        <v>1</v>
      </c>
      <c r="AA144" s="18">
        <f>IF(DataTable[[#This Row],[explanation1]]="WJ",1,IF(DataTable[[#This Row],[explanation2]]="WJ",1,0))</f>
        <v>0</v>
      </c>
      <c r="AB144" s="18">
        <f>IF(DataTable[[#This Row],[explanation1]]="U",1,IF(DataTable[[#This Row],[explanation2]]="U",1,0))</f>
        <v>0</v>
      </c>
      <c r="AC144" s="18">
        <f>IF(DataTable[[#This Row],[explanation1]]="O",1,IF(DataTable[[#This Row],[explanation2]]="O",1,0))</f>
        <v>0</v>
      </c>
      <c r="AD144" s="18">
        <f>IF(DataTable[[#This Row],[explanation1]]="TP",1,IF(DataTable[[#This Row],[explanation2]]="TP",1,0))</f>
        <v>0</v>
      </c>
      <c r="AE144" s="18">
        <f>IF(DataTable[[#This Row],[explanation1]]="WP",1,IF(DataTable[[#This Row],[explanation2]]="WP",1,0))</f>
        <v>0</v>
      </c>
      <c r="AF144" s="18">
        <f>IF(DataTable[[#This Row],[explanation1]]="BR",1,IF(DataTable[[#This Row],[explanation2]]="BR",1,0))</f>
        <v>0</v>
      </c>
      <c r="AG144" s="18">
        <f>IF(DataTable[[#This Row],[explanation1]]="LS",1,IF(DataTable[[#This Row],[explanation2]]="LS",1,0))</f>
        <v>0</v>
      </c>
      <c r="AH144" s="29" t="s">
        <v>6</v>
      </c>
    </row>
    <row r="145" spans="1:34" x14ac:dyDescent="0.2">
      <c r="A145" s="13">
        <v>143</v>
      </c>
      <c r="B145" s="14" t="s">
        <v>44</v>
      </c>
      <c r="C145" s="15" t="s">
        <v>74</v>
      </c>
      <c r="D145" s="16">
        <v>50</v>
      </c>
      <c r="E145" s="14" t="s">
        <v>58</v>
      </c>
      <c r="F145" s="16">
        <v>62</v>
      </c>
      <c r="G145" s="14" t="s">
        <v>47</v>
      </c>
      <c r="H145" s="15" t="s">
        <v>48</v>
      </c>
      <c r="I145" s="16" t="str">
        <f t="shared" si="2"/>
        <v>R</v>
      </c>
      <c r="J145" s="14" t="s">
        <v>78</v>
      </c>
      <c r="K145" s="16" t="s">
        <v>50</v>
      </c>
      <c r="L145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45" s="15">
        <f>IF(DataTable[[#This Row],[3x head (H)/tail (T)?]]=DataTable[[#This Row],[then 4th: H/T/B/0]],1,0)</f>
        <v>0</v>
      </c>
      <c r="N145" s="15">
        <f>IF(DataTable[[#This Row],[then 4th: H/T/B/0]]="B",1,0)</f>
        <v>1</v>
      </c>
      <c r="O145" s="14" t="s">
        <v>198</v>
      </c>
      <c r="P145" s="15">
        <v>14</v>
      </c>
      <c r="Q145" s="17" t="s">
        <v>405</v>
      </c>
      <c r="R145" s="16" t="s">
        <v>53</v>
      </c>
      <c r="S145" s="18" t="s">
        <v>103</v>
      </c>
      <c r="T145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5</v>
      </c>
      <c r="U145" s="19" t="s">
        <v>213</v>
      </c>
      <c r="V145" s="20" t="s">
        <v>7</v>
      </c>
      <c r="W145" s="20"/>
      <c r="X145" s="18"/>
      <c r="Y145" s="18">
        <f>IF(DataTable[[#This Row],[explanation1]]="BL",1,IF(DataTable[[#This Row],[explanation2]]="BL",1,IF(DataTable[[#This Row],[explanation1]]="BR",1,IF(DataTable[[#This Row],[explanation2]]="BR",1,0))))</f>
        <v>0</v>
      </c>
      <c r="Z145" s="18">
        <f>IF(DataTable[[#This Row],[explanation1]]="BL",1,IF(DataTable[[#This Row],[explanation2]]="BL",1,0))</f>
        <v>0</v>
      </c>
      <c r="AA145" s="18">
        <f>IF(DataTable[[#This Row],[explanation1]]="WJ",1,IF(DataTable[[#This Row],[explanation2]]="WJ",1,0))</f>
        <v>1</v>
      </c>
      <c r="AB145" s="18">
        <f>IF(DataTable[[#This Row],[explanation1]]="U",1,IF(DataTable[[#This Row],[explanation2]]="U",1,0))</f>
        <v>0</v>
      </c>
      <c r="AC145" s="18">
        <f>IF(DataTable[[#This Row],[explanation1]]="O",1,IF(DataTable[[#This Row],[explanation2]]="O",1,0))</f>
        <v>0</v>
      </c>
      <c r="AD145" s="18">
        <f>IF(DataTable[[#This Row],[explanation1]]="TP",1,IF(DataTable[[#This Row],[explanation2]]="TP",1,0))</f>
        <v>0</v>
      </c>
      <c r="AE145" s="18">
        <f>IF(DataTable[[#This Row],[explanation1]]="WP",1,IF(DataTable[[#This Row],[explanation2]]="WP",1,0))</f>
        <v>0</v>
      </c>
      <c r="AF145" s="18">
        <f>IF(DataTable[[#This Row],[explanation1]]="BR",1,IF(DataTable[[#This Row],[explanation2]]="BR",1,0))</f>
        <v>0</v>
      </c>
      <c r="AG145" s="18">
        <f>IF(DataTable[[#This Row],[explanation1]]="LS",1,IF(DataTable[[#This Row],[explanation2]]="LS",1,0))</f>
        <v>0</v>
      </c>
      <c r="AH145" s="20" t="s">
        <v>7</v>
      </c>
    </row>
    <row r="146" spans="1:34" x14ac:dyDescent="0.2">
      <c r="A146" s="22">
        <v>144</v>
      </c>
      <c r="B146" s="23" t="s">
        <v>44</v>
      </c>
      <c r="C146" s="24" t="s">
        <v>74</v>
      </c>
      <c r="D146" s="25">
        <v>50</v>
      </c>
      <c r="E146" s="23" t="s">
        <v>58</v>
      </c>
      <c r="F146" s="25">
        <v>62</v>
      </c>
      <c r="G146" s="23" t="s">
        <v>47</v>
      </c>
      <c r="H146" s="24" t="s">
        <v>48</v>
      </c>
      <c r="I146" s="25" t="str">
        <f t="shared" si="2"/>
        <v>R</v>
      </c>
      <c r="J146" s="23" t="s">
        <v>78</v>
      </c>
      <c r="K146" s="25" t="s">
        <v>49</v>
      </c>
      <c r="L146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146" s="24">
        <f>IF(DataTable[[#This Row],[3x head (H)/tail (T)?]]=DataTable[[#This Row],[then 4th: H/T/B/0]],1,0)</f>
        <v>0</v>
      </c>
      <c r="N146" s="24">
        <f>IF(DataTable[[#This Row],[then 4th: H/T/B/0]]="B",1,0)</f>
        <v>0</v>
      </c>
      <c r="O146" s="23" t="s">
        <v>198</v>
      </c>
      <c r="P146" s="24">
        <v>14</v>
      </c>
      <c r="Q146" s="26" t="s">
        <v>405</v>
      </c>
      <c r="R146" s="25" t="s">
        <v>53</v>
      </c>
      <c r="S146" s="27" t="s">
        <v>103</v>
      </c>
      <c r="T146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5</v>
      </c>
      <c r="U146" s="28" t="s">
        <v>226</v>
      </c>
      <c r="V146" s="29" t="s">
        <v>6</v>
      </c>
      <c r="W146" s="29"/>
      <c r="X146" s="27"/>
      <c r="Y146" s="27">
        <f>IF(DataTable[[#This Row],[explanation1]]="BL",1,IF(DataTable[[#This Row],[explanation2]]="BL",1,IF(DataTable[[#This Row],[explanation1]]="BR",1,IF(DataTable[[#This Row],[explanation2]]="BR",1,0))))</f>
        <v>1</v>
      </c>
      <c r="Z146" s="18">
        <f>IF(DataTable[[#This Row],[explanation1]]="BL",1,IF(DataTable[[#This Row],[explanation2]]="BL",1,0))</f>
        <v>1</v>
      </c>
      <c r="AA146" s="18">
        <f>IF(DataTable[[#This Row],[explanation1]]="WJ",1,IF(DataTable[[#This Row],[explanation2]]="WJ",1,0))</f>
        <v>0</v>
      </c>
      <c r="AB146" s="18">
        <f>IF(DataTable[[#This Row],[explanation1]]="U",1,IF(DataTable[[#This Row],[explanation2]]="U",1,0))</f>
        <v>0</v>
      </c>
      <c r="AC146" s="18">
        <f>IF(DataTable[[#This Row],[explanation1]]="O",1,IF(DataTable[[#This Row],[explanation2]]="O",1,0))</f>
        <v>0</v>
      </c>
      <c r="AD146" s="18">
        <f>IF(DataTable[[#This Row],[explanation1]]="TP",1,IF(DataTable[[#This Row],[explanation2]]="TP",1,0))</f>
        <v>0</v>
      </c>
      <c r="AE146" s="18">
        <f>IF(DataTable[[#This Row],[explanation1]]="WP",1,IF(DataTable[[#This Row],[explanation2]]="WP",1,0))</f>
        <v>0</v>
      </c>
      <c r="AF146" s="18">
        <f>IF(DataTable[[#This Row],[explanation1]]="BR",1,IF(DataTable[[#This Row],[explanation2]]="BR",1,0))</f>
        <v>0</v>
      </c>
      <c r="AG146" s="18">
        <f>IF(DataTable[[#This Row],[explanation1]]="LS",1,IF(DataTable[[#This Row],[explanation2]]="LS",1,0))</f>
        <v>0</v>
      </c>
      <c r="AH146" s="29" t="s">
        <v>6</v>
      </c>
    </row>
    <row r="147" spans="1:34" x14ac:dyDescent="0.2">
      <c r="A147" s="13">
        <v>145</v>
      </c>
      <c r="B147" s="14" t="s">
        <v>44</v>
      </c>
      <c r="C147" s="15" t="s">
        <v>74</v>
      </c>
      <c r="D147" s="16">
        <v>50</v>
      </c>
      <c r="E147" s="14" t="s">
        <v>46</v>
      </c>
      <c r="F147" s="16">
        <v>28</v>
      </c>
      <c r="G147" s="14" t="s">
        <v>47</v>
      </c>
      <c r="H147" s="15" t="s">
        <v>48</v>
      </c>
      <c r="I147" s="16" t="str">
        <f t="shared" si="2"/>
        <v>R</v>
      </c>
      <c r="J147" s="14" t="s">
        <v>78</v>
      </c>
      <c r="K147" s="16" t="s">
        <v>50</v>
      </c>
      <c r="L147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47" s="15">
        <f>IF(DataTable[[#This Row],[3x head (H)/tail (T)?]]=DataTable[[#This Row],[then 4th: H/T/B/0]],1,0)</f>
        <v>0</v>
      </c>
      <c r="N147" s="15">
        <f>IF(DataTable[[#This Row],[then 4th: H/T/B/0]]="B",1,0)</f>
        <v>1</v>
      </c>
      <c r="O147" s="14" t="s">
        <v>198</v>
      </c>
      <c r="P147" s="15">
        <v>14</v>
      </c>
      <c r="Q147" s="17" t="s">
        <v>405</v>
      </c>
      <c r="R147" s="16" t="s">
        <v>53</v>
      </c>
      <c r="S147" s="18" t="s">
        <v>65</v>
      </c>
      <c r="T147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147" s="19" t="s">
        <v>95</v>
      </c>
      <c r="V147" s="20" t="s">
        <v>11</v>
      </c>
      <c r="W147" s="20"/>
      <c r="X147" s="18"/>
      <c r="Y147" s="18">
        <f>IF(DataTable[[#This Row],[explanation1]]="BL",1,IF(DataTable[[#This Row],[explanation2]]="BL",1,IF(DataTable[[#This Row],[explanation1]]="BR",1,IF(DataTable[[#This Row],[explanation2]]="BR",1,0))))</f>
        <v>0</v>
      </c>
      <c r="Z147" s="18">
        <f>IF(DataTable[[#This Row],[explanation1]]="BL",1,IF(DataTable[[#This Row],[explanation2]]="BL",1,0))</f>
        <v>0</v>
      </c>
      <c r="AA147" s="18">
        <f>IF(DataTable[[#This Row],[explanation1]]="WJ",1,IF(DataTable[[#This Row],[explanation2]]="WJ",1,0))</f>
        <v>0</v>
      </c>
      <c r="AB147" s="18">
        <f>IF(DataTable[[#This Row],[explanation1]]="U",1,IF(DataTable[[#This Row],[explanation2]]="U",1,0))</f>
        <v>0</v>
      </c>
      <c r="AC147" s="18">
        <f>IF(DataTable[[#This Row],[explanation1]]="O",1,IF(DataTable[[#This Row],[explanation2]]="O",1,0))</f>
        <v>0</v>
      </c>
      <c r="AD147" s="18">
        <f>IF(DataTable[[#This Row],[explanation1]]="TP",1,IF(DataTable[[#This Row],[explanation2]]="TP",1,0))</f>
        <v>0</v>
      </c>
      <c r="AE147" s="18">
        <f>IF(DataTable[[#This Row],[explanation1]]="WP",1,IF(DataTable[[#This Row],[explanation2]]="WP",1,0))</f>
        <v>1</v>
      </c>
      <c r="AF147" s="18">
        <f>IF(DataTable[[#This Row],[explanation1]]="BR",1,IF(DataTable[[#This Row],[explanation2]]="BR",1,0))</f>
        <v>0</v>
      </c>
      <c r="AG147" s="18">
        <f>IF(DataTable[[#This Row],[explanation1]]="LS",1,IF(DataTable[[#This Row],[explanation2]]="LS",1,0))</f>
        <v>0</v>
      </c>
      <c r="AH147" s="20" t="s">
        <v>11</v>
      </c>
    </row>
    <row r="148" spans="1:34" x14ac:dyDescent="0.2">
      <c r="A148" s="22">
        <v>146</v>
      </c>
      <c r="B148" s="23" t="s">
        <v>44</v>
      </c>
      <c r="C148" s="24" t="s">
        <v>74</v>
      </c>
      <c r="D148" s="25">
        <v>50</v>
      </c>
      <c r="E148" s="23" t="s">
        <v>58</v>
      </c>
      <c r="F148" s="25">
        <v>61</v>
      </c>
      <c r="G148" s="23" t="s">
        <v>44</v>
      </c>
      <c r="H148" s="24" t="s">
        <v>48</v>
      </c>
      <c r="I148" s="25" t="str">
        <f t="shared" si="2"/>
        <v>L1</v>
      </c>
      <c r="J148" s="23" t="s">
        <v>78</v>
      </c>
      <c r="K148" s="25" t="s">
        <v>49</v>
      </c>
      <c r="L148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148" s="24">
        <f>IF(DataTable[[#This Row],[3x head (H)/tail (T)?]]=DataTable[[#This Row],[then 4th: H/T/B/0]],1,0)</f>
        <v>0</v>
      </c>
      <c r="N148" s="24">
        <f>IF(DataTable[[#This Row],[then 4th: H/T/B/0]]="B",1,0)</f>
        <v>0</v>
      </c>
      <c r="O148" s="23" t="s">
        <v>198</v>
      </c>
      <c r="P148" s="24">
        <v>14</v>
      </c>
      <c r="Q148" s="26" t="s">
        <v>405</v>
      </c>
      <c r="R148" s="25" t="s">
        <v>53</v>
      </c>
      <c r="S148" s="27" t="s">
        <v>75</v>
      </c>
      <c r="T148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148" s="28" t="s">
        <v>76</v>
      </c>
      <c r="V148" s="29" t="s">
        <v>13</v>
      </c>
      <c r="W148" s="29"/>
      <c r="X148" s="27"/>
      <c r="Y148" s="27">
        <f>IF(DataTable[[#This Row],[explanation1]]="BL",1,IF(DataTable[[#This Row],[explanation2]]="BL",1,IF(DataTable[[#This Row],[explanation1]]="BR",1,IF(DataTable[[#This Row],[explanation2]]="BR",1,0))))</f>
        <v>0</v>
      </c>
      <c r="Z148" s="18">
        <f>IF(DataTable[[#This Row],[explanation1]]="BL",1,IF(DataTable[[#This Row],[explanation2]]="BL",1,0))</f>
        <v>0</v>
      </c>
      <c r="AA148" s="18">
        <f>IF(DataTable[[#This Row],[explanation1]]="WJ",1,IF(DataTable[[#This Row],[explanation2]]="WJ",1,0))</f>
        <v>0</v>
      </c>
      <c r="AB148" s="18">
        <f>IF(DataTable[[#This Row],[explanation1]]="U",1,IF(DataTable[[#This Row],[explanation2]]="U",1,0))</f>
        <v>0</v>
      </c>
      <c r="AC148" s="18">
        <f>IF(DataTable[[#This Row],[explanation1]]="O",1,IF(DataTable[[#This Row],[explanation2]]="O",1,0))</f>
        <v>0</v>
      </c>
      <c r="AD148" s="18">
        <f>IF(DataTable[[#This Row],[explanation1]]="TP",1,IF(DataTable[[#This Row],[explanation2]]="TP",1,0))</f>
        <v>0</v>
      </c>
      <c r="AE148" s="18">
        <f>IF(DataTable[[#This Row],[explanation1]]="WP",1,IF(DataTable[[#This Row],[explanation2]]="WP",1,0))</f>
        <v>0</v>
      </c>
      <c r="AF148" s="18">
        <f>IF(DataTable[[#This Row],[explanation1]]="BR",1,IF(DataTable[[#This Row],[explanation2]]="BR",1,0))</f>
        <v>0</v>
      </c>
      <c r="AG148" s="18">
        <f>IF(DataTable[[#This Row],[explanation1]]="LS",1,IF(DataTable[[#This Row],[explanation2]]="LS",1,0))</f>
        <v>1</v>
      </c>
      <c r="AH148" s="29" t="s">
        <v>227</v>
      </c>
    </row>
    <row r="149" spans="1:34" x14ac:dyDescent="0.2">
      <c r="A149" s="13">
        <v>147</v>
      </c>
      <c r="B149" s="14" t="s">
        <v>60</v>
      </c>
      <c r="C149" s="15" t="s">
        <v>74</v>
      </c>
      <c r="D149" s="16">
        <v>1</v>
      </c>
      <c r="E149" s="14" t="s">
        <v>58</v>
      </c>
      <c r="F149" s="16">
        <v>39</v>
      </c>
      <c r="G149" s="14" t="s">
        <v>47</v>
      </c>
      <c r="H149" s="15" t="s">
        <v>48</v>
      </c>
      <c r="I149" s="16" t="str">
        <f t="shared" si="2"/>
        <v>R</v>
      </c>
      <c r="J149" s="14" t="s">
        <v>78</v>
      </c>
      <c r="K149" s="16" t="s">
        <v>49</v>
      </c>
      <c r="L149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149" s="15">
        <f>IF(DataTable[[#This Row],[3x head (H)/tail (T)?]]=DataTable[[#This Row],[then 4th: H/T/B/0]],1,0)</f>
        <v>0</v>
      </c>
      <c r="N149" s="15">
        <f>IF(DataTable[[#This Row],[then 4th: H/T/B/0]]="B",1,0)</f>
        <v>0</v>
      </c>
      <c r="O149" s="14" t="s">
        <v>228</v>
      </c>
      <c r="P149" s="15">
        <v>14</v>
      </c>
      <c r="Q149" s="17" t="s">
        <v>405</v>
      </c>
      <c r="R149" s="16" t="s">
        <v>53</v>
      </c>
      <c r="S149" s="18" t="s">
        <v>103</v>
      </c>
      <c r="T149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5</v>
      </c>
      <c r="U149" s="19" t="s">
        <v>213</v>
      </c>
      <c r="V149" s="20" t="s">
        <v>8</v>
      </c>
      <c r="W149" s="20"/>
      <c r="X149" s="18" t="s">
        <v>229</v>
      </c>
      <c r="Y149" s="18">
        <f>IF(DataTable[[#This Row],[explanation1]]="BL",1,IF(DataTable[[#This Row],[explanation2]]="BL",1,IF(DataTable[[#This Row],[explanation1]]="BR",1,IF(DataTable[[#This Row],[explanation2]]="BR",1,0))))</f>
        <v>0</v>
      </c>
      <c r="Z149" s="18">
        <f>IF(DataTable[[#This Row],[explanation1]]="BL",1,IF(DataTable[[#This Row],[explanation2]]="BL",1,0))</f>
        <v>0</v>
      </c>
      <c r="AA149" s="18">
        <f>IF(DataTable[[#This Row],[explanation1]]="WJ",1,IF(DataTable[[#This Row],[explanation2]]="WJ",1,0))</f>
        <v>0</v>
      </c>
      <c r="AB149" s="18">
        <f>IF(DataTable[[#This Row],[explanation1]]="U",1,IF(DataTable[[#This Row],[explanation2]]="U",1,0))</f>
        <v>1</v>
      </c>
      <c r="AC149" s="18">
        <f>IF(DataTable[[#This Row],[explanation1]]="O",1,IF(DataTable[[#This Row],[explanation2]]="O",1,0))</f>
        <v>0</v>
      </c>
      <c r="AD149" s="18">
        <f>IF(DataTable[[#This Row],[explanation1]]="TP",1,IF(DataTable[[#This Row],[explanation2]]="TP",1,0))</f>
        <v>0</v>
      </c>
      <c r="AE149" s="18">
        <f>IF(DataTable[[#This Row],[explanation1]]="WP",1,IF(DataTable[[#This Row],[explanation2]]="WP",1,0))</f>
        <v>0</v>
      </c>
      <c r="AF149" s="18">
        <f>IF(DataTable[[#This Row],[explanation1]]="BR",1,IF(DataTable[[#This Row],[explanation2]]="BR",1,0))</f>
        <v>0</v>
      </c>
      <c r="AG149" s="18">
        <f>IF(DataTable[[#This Row],[explanation1]]="LS",1,IF(DataTable[[#This Row],[explanation2]]="LS",1,0))</f>
        <v>0</v>
      </c>
      <c r="AH149" s="30" t="s">
        <v>230</v>
      </c>
    </row>
    <row r="150" spans="1:34" x14ac:dyDescent="0.2">
      <c r="A150" s="22">
        <v>148</v>
      </c>
      <c r="B150" s="23" t="s">
        <v>60</v>
      </c>
      <c r="C150" s="24" t="s">
        <v>74</v>
      </c>
      <c r="D150" s="25">
        <v>1</v>
      </c>
      <c r="E150" s="23" t="s">
        <v>58</v>
      </c>
      <c r="F150" s="25">
        <v>25</v>
      </c>
      <c r="G150" s="23" t="s">
        <v>47</v>
      </c>
      <c r="H150" s="24" t="s">
        <v>48</v>
      </c>
      <c r="I150" s="25" t="str">
        <f t="shared" si="2"/>
        <v>R</v>
      </c>
      <c r="J150" s="23" t="s">
        <v>78</v>
      </c>
      <c r="K150" s="25" t="s">
        <v>78</v>
      </c>
      <c r="L150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50" s="24">
        <f>IF(DataTable[[#This Row],[3x head (H)/tail (T)?]]=DataTable[[#This Row],[then 4th: H/T/B/0]],1,0)</f>
        <v>1</v>
      </c>
      <c r="N150" s="24">
        <f>IF(DataTable[[#This Row],[then 4th: H/T/B/0]]="B",1,0)</f>
        <v>0</v>
      </c>
      <c r="O150" s="23" t="s">
        <v>228</v>
      </c>
      <c r="P150" s="24">
        <v>14</v>
      </c>
      <c r="Q150" s="26" t="s">
        <v>405</v>
      </c>
      <c r="R150" s="25" t="s">
        <v>53</v>
      </c>
      <c r="S150" s="27" t="s">
        <v>61</v>
      </c>
      <c r="T150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4</v>
      </c>
      <c r="U150" s="28" t="s">
        <v>173</v>
      </c>
      <c r="V150" s="29" t="s">
        <v>8</v>
      </c>
      <c r="W150" s="29"/>
      <c r="X150" s="27" t="s">
        <v>231</v>
      </c>
      <c r="Y150" s="27">
        <f>IF(DataTable[[#This Row],[explanation1]]="BL",1,IF(DataTable[[#This Row],[explanation2]]="BL",1,IF(DataTable[[#This Row],[explanation1]]="BR",1,IF(DataTable[[#This Row],[explanation2]]="BR",1,0))))</f>
        <v>0</v>
      </c>
      <c r="Z150" s="18">
        <f>IF(DataTable[[#This Row],[explanation1]]="BL",1,IF(DataTable[[#This Row],[explanation2]]="BL",1,0))</f>
        <v>0</v>
      </c>
      <c r="AA150" s="18">
        <f>IF(DataTable[[#This Row],[explanation1]]="WJ",1,IF(DataTable[[#This Row],[explanation2]]="WJ",1,0))</f>
        <v>0</v>
      </c>
      <c r="AB150" s="18">
        <f>IF(DataTable[[#This Row],[explanation1]]="U",1,IF(DataTable[[#This Row],[explanation2]]="U",1,0))</f>
        <v>1</v>
      </c>
      <c r="AC150" s="18">
        <f>IF(DataTable[[#This Row],[explanation1]]="O",1,IF(DataTable[[#This Row],[explanation2]]="O",1,0))</f>
        <v>0</v>
      </c>
      <c r="AD150" s="18">
        <f>IF(DataTable[[#This Row],[explanation1]]="TP",1,IF(DataTable[[#This Row],[explanation2]]="TP",1,0))</f>
        <v>0</v>
      </c>
      <c r="AE150" s="18">
        <f>IF(DataTable[[#This Row],[explanation1]]="WP",1,IF(DataTable[[#This Row],[explanation2]]="WP",1,0))</f>
        <v>0</v>
      </c>
      <c r="AF150" s="18">
        <f>IF(DataTable[[#This Row],[explanation1]]="BR",1,IF(DataTable[[#This Row],[explanation2]]="BR",1,0))</f>
        <v>0</v>
      </c>
      <c r="AG150" s="18">
        <f>IF(DataTable[[#This Row],[explanation1]]="LS",1,IF(DataTable[[#This Row],[explanation2]]="LS",1,0))</f>
        <v>0</v>
      </c>
      <c r="AH150" s="37" t="s">
        <v>232</v>
      </c>
    </row>
    <row r="151" spans="1:34" x14ac:dyDescent="0.2">
      <c r="A151" s="13">
        <v>149</v>
      </c>
      <c r="B151" s="14" t="s">
        <v>60</v>
      </c>
      <c r="C151" s="15" t="s">
        <v>74</v>
      </c>
      <c r="D151" s="16">
        <v>1</v>
      </c>
      <c r="E151" s="14" t="s">
        <v>58</v>
      </c>
      <c r="F151" s="16">
        <v>61</v>
      </c>
      <c r="G151" s="14" t="s">
        <v>47</v>
      </c>
      <c r="H151" s="15" t="s">
        <v>48</v>
      </c>
      <c r="I151" s="16" t="str">
        <f t="shared" si="2"/>
        <v>R</v>
      </c>
      <c r="J151" s="14" t="s">
        <v>78</v>
      </c>
      <c r="K151" s="16" t="s">
        <v>78</v>
      </c>
      <c r="L151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51" s="15">
        <f>IF(DataTable[[#This Row],[3x head (H)/tail (T)?]]=DataTable[[#This Row],[then 4th: H/T/B/0]],1,0)</f>
        <v>1</v>
      </c>
      <c r="N151" s="15">
        <f>IF(DataTable[[#This Row],[then 4th: H/T/B/0]]="B",1,0)</f>
        <v>0</v>
      </c>
      <c r="O151" s="14" t="s">
        <v>228</v>
      </c>
      <c r="P151" s="15">
        <v>14</v>
      </c>
      <c r="Q151" s="17" t="s">
        <v>405</v>
      </c>
      <c r="R151" s="16" t="s">
        <v>53</v>
      </c>
      <c r="S151" s="18" t="s">
        <v>61</v>
      </c>
      <c r="T151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4</v>
      </c>
      <c r="U151" s="19" t="s">
        <v>173</v>
      </c>
      <c r="V151" s="20" t="s">
        <v>8</v>
      </c>
      <c r="W151" s="20"/>
      <c r="X151" s="18" t="s">
        <v>233</v>
      </c>
      <c r="Y151" s="18">
        <f>IF(DataTable[[#This Row],[explanation1]]="BL",1,IF(DataTable[[#This Row],[explanation2]]="BL",1,IF(DataTable[[#This Row],[explanation1]]="BR",1,IF(DataTable[[#This Row],[explanation2]]="BR",1,0))))</f>
        <v>0</v>
      </c>
      <c r="Z151" s="18">
        <f>IF(DataTable[[#This Row],[explanation1]]="BL",1,IF(DataTable[[#This Row],[explanation2]]="BL",1,0))</f>
        <v>0</v>
      </c>
      <c r="AA151" s="18">
        <f>IF(DataTable[[#This Row],[explanation1]]="WJ",1,IF(DataTable[[#This Row],[explanation2]]="WJ",1,0))</f>
        <v>0</v>
      </c>
      <c r="AB151" s="18">
        <f>IF(DataTable[[#This Row],[explanation1]]="U",1,IF(DataTable[[#This Row],[explanation2]]="U",1,0))</f>
        <v>1</v>
      </c>
      <c r="AC151" s="18">
        <f>IF(DataTable[[#This Row],[explanation1]]="O",1,IF(DataTable[[#This Row],[explanation2]]="O",1,0))</f>
        <v>0</v>
      </c>
      <c r="AD151" s="18">
        <f>IF(DataTable[[#This Row],[explanation1]]="TP",1,IF(DataTable[[#This Row],[explanation2]]="TP",1,0))</f>
        <v>0</v>
      </c>
      <c r="AE151" s="18">
        <f>IF(DataTable[[#This Row],[explanation1]]="WP",1,IF(DataTable[[#This Row],[explanation2]]="WP",1,0))</f>
        <v>0</v>
      </c>
      <c r="AF151" s="18">
        <f>IF(DataTable[[#This Row],[explanation1]]="BR",1,IF(DataTable[[#This Row],[explanation2]]="BR",1,0))</f>
        <v>0</v>
      </c>
      <c r="AG151" s="18">
        <f>IF(DataTable[[#This Row],[explanation1]]="LS",1,IF(DataTable[[#This Row],[explanation2]]="LS",1,0))</f>
        <v>0</v>
      </c>
      <c r="AH151" s="30" t="s">
        <v>234</v>
      </c>
    </row>
    <row r="152" spans="1:34" x14ac:dyDescent="0.2">
      <c r="A152" s="22">
        <v>150</v>
      </c>
      <c r="B152" s="23" t="s">
        <v>60</v>
      </c>
      <c r="C152" s="24" t="s">
        <v>45</v>
      </c>
      <c r="D152" s="25">
        <v>1</v>
      </c>
      <c r="E152" s="23" t="s">
        <v>58</v>
      </c>
      <c r="F152" s="25">
        <v>40</v>
      </c>
      <c r="G152" s="23" t="s">
        <v>60</v>
      </c>
      <c r="H152" s="24" t="s">
        <v>48</v>
      </c>
      <c r="I152" s="25" t="str">
        <f t="shared" si="2"/>
        <v>L5</v>
      </c>
      <c r="J152" s="23" t="s">
        <v>78</v>
      </c>
      <c r="K152" s="25" t="s">
        <v>49</v>
      </c>
      <c r="L152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152" s="24">
        <f>IF(DataTable[[#This Row],[3x head (H)/tail (T)?]]=DataTable[[#This Row],[then 4th: H/T/B/0]],1,0)</f>
        <v>0</v>
      </c>
      <c r="N152" s="24">
        <f>IF(DataTable[[#This Row],[then 4th: H/T/B/0]]="B",1,0)</f>
        <v>0</v>
      </c>
      <c r="O152" s="23" t="s">
        <v>228</v>
      </c>
      <c r="P152" s="24">
        <v>14</v>
      </c>
      <c r="Q152" s="26" t="s">
        <v>405</v>
      </c>
      <c r="R152" s="25" t="s">
        <v>53</v>
      </c>
      <c r="S152" s="27" t="s">
        <v>75</v>
      </c>
      <c r="T152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152" s="28" t="s">
        <v>76</v>
      </c>
      <c r="V152" s="29" t="s">
        <v>8</v>
      </c>
      <c r="W152" s="29" t="s">
        <v>13</v>
      </c>
      <c r="X152" s="27" t="s">
        <v>235</v>
      </c>
      <c r="Y152" s="27">
        <f>IF(DataTable[[#This Row],[explanation1]]="BL",1,IF(DataTable[[#This Row],[explanation2]]="BL",1,IF(DataTable[[#This Row],[explanation1]]="BR",1,IF(DataTable[[#This Row],[explanation2]]="BR",1,0))))</f>
        <v>0</v>
      </c>
      <c r="Z152" s="18">
        <f>IF(DataTable[[#This Row],[explanation1]]="BL",1,IF(DataTable[[#This Row],[explanation2]]="BL",1,0))</f>
        <v>0</v>
      </c>
      <c r="AA152" s="18">
        <f>IF(DataTable[[#This Row],[explanation1]]="WJ",1,IF(DataTable[[#This Row],[explanation2]]="WJ",1,0))</f>
        <v>0</v>
      </c>
      <c r="AB152" s="18">
        <f>IF(DataTable[[#This Row],[explanation1]]="U",1,IF(DataTable[[#This Row],[explanation2]]="U",1,0))</f>
        <v>1</v>
      </c>
      <c r="AC152" s="18">
        <f>IF(DataTable[[#This Row],[explanation1]]="O",1,IF(DataTable[[#This Row],[explanation2]]="O",1,0))</f>
        <v>0</v>
      </c>
      <c r="AD152" s="18">
        <f>IF(DataTable[[#This Row],[explanation1]]="TP",1,IF(DataTable[[#This Row],[explanation2]]="TP",1,0))</f>
        <v>0</v>
      </c>
      <c r="AE152" s="18">
        <f>IF(DataTable[[#This Row],[explanation1]]="WP",1,IF(DataTable[[#This Row],[explanation2]]="WP",1,0))</f>
        <v>0</v>
      </c>
      <c r="AF152" s="18">
        <f>IF(DataTable[[#This Row],[explanation1]]="BR",1,IF(DataTable[[#This Row],[explanation2]]="BR",1,0))</f>
        <v>0</v>
      </c>
      <c r="AG152" s="18">
        <f>IF(DataTable[[#This Row],[explanation1]]="LS",1,IF(DataTable[[#This Row],[explanation2]]="LS",1,0))</f>
        <v>1</v>
      </c>
      <c r="AH152" s="37" t="s">
        <v>236</v>
      </c>
    </row>
    <row r="153" spans="1:34" x14ac:dyDescent="0.2">
      <c r="A153" s="13">
        <v>151</v>
      </c>
      <c r="B153" s="14" t="s">
        <v>60</v>
      </c>
      <c r="C153" s="15" t="s">
        <v>45</v>
      </c>
      <c r="D153" s="16">
        <v>1</v>
      </c>
      <c r="E153" s="14" t="s">
        <v>46</v>
      </c>
      <c r="F153" s="16">
        <v>49</v>
      </c>
      <c r="G153" s="14" t="s">
        <v>47</v>
      </c>
      <c r="H153" s="15" t="s">
        <v>48</v>
      </c>
      <c r="I153" s="16" t="str">
        <f t="shared" si="2"/>
        <v>R</v>
      </c>
      <c r="J153" s="14" t="s">
        <v>78</v>
      </c>
      <c r="K153" s="16" t="s">
        <v>49</v>
      </c>
      <c r="L153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153" s="15">
        <f>IF(DataTable[[#This Row],[3x head (H)/tail (T)?]]=DataTable[[#This Row],[then 4th: H/T/B/0]],1,0)</f>
        <v>0</v>
      </c>
      <c r="N153" s="15">
        <f>IF(DataTable[[#This Row],[then 4th: H/T/B/0]]="B",1,0)</f>
        <v>0</v>
      </c>
      <c r="O153" s="14" t="s">
        <v>228</v>
      </c>
      <c r="P153" s="15">
        <v>14</v>
      </c>
      <c r="Q153" s="17" t="s">
        <v>405</v>
      </c>
      <c r="R153" s="16" t="s">
        <v>53</v>
      </c>
      <c r="S153" s="18" t="s">
        <v>65</v>
      </c>
      <c r="T153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153" s="19" t="s">
        <v>95</v>
      </c>
      <c r="V153" s="20" t="s">
        <v>6</v>
      </c>
      <c r="W153" s="20"/>
      <c r="X153" s="18"/>
      <c r="Y153" s="18">
        <f>IF(DataTable[[#This Row],[explanation1]]="BL",1,IF(DataTable[[#This Row],[explanation2]]="BL",1,IF(DataTable[[#This Row],[explanation1]]="BR",1,IF(DataTable[[#This Row],[explanation2]]="BR",1,0))))</f>
        <v>1</v>
      </c>
      <c r="Z153" s="18">
        <f>IF(DataTable[[#This Row],[explanation1]]="BL",1,IF(DataTable[[#This Row],[explanation2]]="BL",1,0))</f>
        <v>1</v>
      </c>
      <c r="AA153" s="18">
        <f>IF(DataTable[[#This Row],[explanation1]]="WJ",1,IF(DataTable[[#This Row],[explanation2]]="WJ",1,0))</f>
        <v>0</v>
      </c>
      <c r="AB153" s="18">
        <f>IF(DataTable[[#This Row],[explanation1]]="U",1,IF(DataTable[[#This Row],[explanation2]]="U",1,0))</f>
        <v>0</v>
      </c>
      <c r="AC153" s="18">
        <f>IF(DataTable[[#This Row],[explanation1]]="O",1,IF(DataTable[[#This Row],[explanation2]]="O",1,0))</f>
        <v>0</v>
      </c>
      <c r="AD153" s="18">
        <f>IF(DataTable[[#This Row],[explanation1]]="TP",1,IF(DataTable[[#This Row],[explanation2]]="TP",1,0))</f>
        <v>0</v>
      </c>
      <c r="AE153" s="18">
        <f>IF(DataTable[[#This Row],[explanation1]]="WP",1,IF(DataTable[[#This Row],[explanation2]]="WP",1,0))</f>
        <v>0</v>
      </c>
      <c r="AF153" s="18">
        <f>IF(DataTable[[#This Row],[explanation1]]="BR",1,IF(DataTable[[#This Row],[explanation2]]="BR",1,0))</f>
        <v>0</v>
      </c>
      <c r="AG153" s="18">
        <f>IF(DataTable[[#This Row],[explanation1]]="LS",1,IF(DataTable[[#This Row],[explanation2]]="LS",1,0))</f>
        <v>0</v>
      </c>
      <c r="AH153" s="30" t="s">
        <v>6</v>
      </c>
    </row>
    <row r="154" spans="1:34" x14ac:dyDescent="0.2">
      <c r="A154" s="22">
        <v>152</v>
      </c>
      <c r="B154" s="23" t="s">
        <v>60</v>
      </c>
      <c r="C154" s="24" t="s">
        <v>45</v>
      </c>
      <c r="D154" s="25">
        <v>1</v>
      </c>
      <c r="E154" s="23" t="s">
        <v>46</v>
      </c>
      <c r="F154" s="25">
        <v>57</v>
      </c>
      <c r="G154" s="23" t="s">
        <v>47</v>
      </c>
      <c r="H154" s="24" t="s">
        <v>48</v>
      </c>
      <c r="I154" s="25" t="str">
        <f t="shared" si="2"/>
        <v>R</v>
      </c>
      <c r="J154" s="23" t="s">
        <v>78</v>
      </c>
      <c r="K154" s="25">
        <v>0</v>
      </c>
      <c r="L154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54" s="24">
        <f>IF(DataTable[[#This Row],[3x head (H)/tail (T)?]]=DataTable[[#This Row],[then 4th: H/T/B/0]],1,0)</f>
        <v>0</v>
      </c>
      <c r="N154" s="24">
        <f>IF(DataTable[[#This Row],[then 4th: H/T/B/0]]="B",1,0)</f>
        <v>0</v>
      </c>
      <c r="O154" s="23" t="s">
        <v>228</v>
      </c>
      <c r="P154" s="24">
        <v>14</v>
      </c>
      <c r="Q154" s="26" t="s">
        <v>405</v>
      </c>
      <c r="R154" s="25" t="s">
        <v>53</v>
      </c>
      <c r="S154" s="27" t="s">
        <v>54</v>
      </c>
      <c r="T154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154" s="28" t="s">
        <v>88</v>
      </c>
      <c r="V154" s="29" t="s">
        <v>9</v>
      </c>
      <c r="W154" s="29"/>
      <c r="X154" s="27"/>
      <c r="Y154" s="27">
        <f>IF(DataTable[[#This Row],[explanation1]]="BL",1,IF(DataTable[[#This Row],[explanation2]]="BL",1,IF(DataTable[[#This Row],[explanation1]]="BR",1,IF(DataTable[[#This Row],[explanation2]]="BR",1,0))))</f>
        <v>0</v>
      </c>
      <c r="Z154" s="18">
        <f>IF(DataTable[[#This Row],[explanation1]]="BL",1,IF(DataTable[[#This Row],[explanation2]]="BL",1,0))</f>
        <v>0</v>
      </c>
      <c r="AA154" s="18">
        <f>IF(DataTable[[#This Row],[explanation1]]="WJ",1,IF(DataTable[[#This Row],[explanation2]]="WJ",1,0))</f>
        <v>0</v>
      </c>
      <c r="AB154" s="18">
        <f>IF(DataTable[[#This Row],[explanation1]]="U",1,IF(DataTable[[#This Row],[explanation2]]="U",1,0))</f>
        <v>0</v>
      </c>
      <c r="AC154" s="18">
        <f>IF(DataTable[[#This Row],[explanation1]]="O",1,IF(DataTable[[#This Row],[explanation2]]="O",1,0))</f>
        <v>1</v>
      </c>
      <c r="AD154" s="18">
        <f>IF(DataTable[[#This Row],[explanation1]]="TP",1,IF(DataTable[[#This Row],[explanation2]]="TP",1,0))</f>
        <v>0</v>
      </c>
      <c r="AE154" s="18">
        <f>IF(DataTable[[#This Row],[explanation1]]="WP",1,IF(DataTable[[#This Row],[explanation2]]="WP",1,0))</f>
        <v>0</v>
      </c>
      <c r="AF154" s="18">
        <f>IF(DataTable[[#This Row],[explanation1]]="BR",1,IF(DataTable[[#This Row],[explanation2]]="BR",1,0))</f>
        <v>0</v>
      </c>
      <c r="AG154" s="18">
        <f>IF(DataTable[[#This Row],[explanation1]]="LS",1,IF(DataTable[[#This Row],[explanation2]]="LS",1,0))</f>
        <v>0</v>
      </c>
      <c r="AH154" s="37" t="s">
        <v>237</v>
      </c>
    </row>
    <row r="155" spans="1:34" x14ac:dyDescent="0.2">
      <c r="A155" s="13">
        <v>153</v>
      </c>
      <c r="B155" s="14" t="s">
        <v>60</v>
      </c>
      <c r="C155" s="15" t="s">
        <v>74</v>
      </c>
      <c r="D155" s="16">
        <v>50</v>
      </c>
      <c r="E155" s="14" t="s">
        <v>58</v>
      </c>
      <c r="F155" s="16">
        <v>65</v>
      </c>
      <c r="G155" s="14" t="s">
        <v>60</v>
      </c>
      <c r="H155" s="15" t="s">
        <v>48</v>
      </c>
      <c r="I155" s="16" t="str">
        <f t="shared" si="2"/>
        <v>L5</v>
      </c>
      <c r="J155" s="14" t="s">
        <v>49</v>
      </c>
      <c r="K155" s="16" t="s">
        <v>49</v>
      </c>
      <c r="L155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55" s="15">
        <f>IF(DataTable[[#This Row],[3x head (H)/tail (T)?]]=DataTable[[#This Row],[then 4th: H/T/B/0]],1,0)</f>
        <v>1</v>
      </c>
      <c r="N155" s="15">
        <f>IF(DataTable[[#This Row],[then 4th: H/T/B/0]]="B",1,0)</f>
        <v>0</v>
      </c>
      <c r="O155" s="14" t="s">
        <v>228</v>
      </c>
      <c r="P155" s="15">
        <v>14</v>
      </c>
      <c r="Q155" s="17" t="s">
        <v>405</v>
      </c>
      <c r="R155" s="16" t="s">
        <v>53</v>
      </c>
      <c r="S155" s="18" t="s">
        <v>75</v>
      </c>
      <c r="T155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155" s="19" t="s">
        <v>76</v>
      </c>
      <c r="V155" s="20" t="s">
        <v>13</v>
      </c>
      <c r="W155" s="20"/>
      <c r="X155" s="18"/>
      <c r="Y155" s="18">
        <f>IF(DataTable[[#This Row],[explanation1]]="BL",1,IF(DataTable[[#This Row],[explanation2]]="BL",1,IF(DataTable[[#This Row],[explanation1]]="BR",1,IF(DataTable[[#This Row],[explanation2]]="BR",1,0))))</f>
        <v>0</v>
      </c>
      <c r="Z155" s="18">
        <f>IF(DataTable[[#This Row],[explanation1]]="BL",1,IF(DataTable[[#This Row],[explanation2]]="BL",1,0))</f>
        <v>0</v>
      </c>
      <c r="AA155" s="18">
        <f>IF(DataTable[[#This Row],[explanation1]]="WJ",1,IF(DataTable[[#This Row],[explanation2]]="WJ",1,0))</f>
        <v>0</v>
      </c>
      <c r="AB155" s="18">
        <f>IF(DataTable[[#This Row],[explanation1]]="U",1,IF(DataTable[[#This Row],[explanation2]]="U",1,0))</f>
        <v>0</v>
      </c>
      <c r="AC155" s="18">
        <f>IF(DataTable[[#This Row],[explanation1]]="O",1,IF(DataTable[[#This Row],[explanation2]]="O",1,0))</f>
        <v>0</v>
      </c>
      <c r="AD155" s="18">
        <f>IF(DataTable[[#This Row],[explanation1]]="TP",1,IF(DataTable[[#This Row],[explanation2]]="TP",1,0))</f>
        <v>0</v>
      </c>
      <c r="AE155" s="18">
        <f>IF(DataTable[[#This Row],[explanation1]]="WP",1,IF(DataTable[[#This Row],[explanation2]]="WP",1,0))</f>
        <v>0</v>
      </c>
      <c r="AF155" s="18">
        <f>IF(DataTable[[#This Row],[explanation1]]="BR",1,IF(DataTable[[#This Row],[explanation2]]="BR",1,0))</f>
        <v>0</v>
      </c>
      <c r="AG155" s="18">
        <f>IF(DataTable[[#This Row],[explanation1]]="LS",1,IF(DataTable[[#This Row],[explanation2]]="LS",1,0))</f>
        <v>1</v>
      </c>
      <c r="AH155" s="30" t="s">
        <v>238</v>
      </c>
    </row>
    <row r="156" spans="1:34" x14ac:dyDescent="0.2">
      <c r="A156" s="22">
        <v>154</v>
      </c>
      <c r="B156" s="23" t="s">
        <v>70</v>
      </c>
      <c r="C156" s="24" t="s">
        <v>74</v>
      </c>
      <c r="D156" s="25">
        <v>50</v>
      </c>
      <c r="E156" s="23" t="s">
        <v>58</v>
      </c>
      <c r="F156" s="25">
        <v>58</v>
      </c>
      <c r="G156" s="23" t="s">
        <v>70</v>
      </c>
      <c r="H156" s="24" t="s">
        <v>48</v>
      </c>
      <c r="I156" s="25" t="str">
        <f t="shared" si="2"/>
        <v>M5</v>
      </c>
      <c r="J156" s="23" t="s">
        <v>78</v>
      </c>
      <c r="K156" s="25" t="s">
        <v>49</v>
      </c>
      <c r="L156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156" s="24">
        <f>IF(DataTable[[#This Row],[3x head (H)/tail (T)?]]=DataTable[[#This Row],[then 4th: H/T/B/0]],1,0)</f>
        <v>0</v>
      </c>
      <c r="N156" s="24">
        <f>IF(DataTable[[#This Row],[then 4th: H/T/B/0]]="B",1,0)</f>
        <v>0</v>
      </c>
      <c r="O156" s="23" t="s">
        <v>228</v>
      </c>
      <c r="P156" s="24">
        <v>14</v>
      </c>
      <c r="Q156" s="26" t="s">
        <v>405</v>
      </c>
      <c r="R156" s="25" t="s">
        <v>53</v>
      </c>
      <c r="S156" s="27" t="s">
        <v>65</v>
      </c>
      <c r="T156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156" s="28" t="s">
        <v>95</v>
      </c>
      <c r="V156" s="29" t="s">
        <v>9</v>
      </c>
      <c r="W156" s="29"/>
      <c r="X156" s="27"/>
      <c r="Y156" s="27">
        <f>IF(DataTable[[#This Row],[explanation1]]="BL",1,IF(DataTable[[#This Row],[explanation2]]="BL",1,IF(DataTable[[#This Row],[explanation1]]="BR",1,IF(DataTable[[#This Row],[explanation2]]="BR",1,0))))</f>
        <v>0</v>
      </c>
      <c r="Z156" s="18">
        <f>IF(DataTable[[#This Row],[explanation1]]="BL",1,IF(DataTable[[#This Row],[explanation2]]="BL",1,0))</f>
        <v>0</v>
      </c>
      <c r="AA156" s="18">
        <f>IF(DataTable[[#This Row],[explanation1]]="WJ",1,IF(DataTable[[#This Row],[explanation2]]="WJ",1,0))</f>
        <v>0</v>
      </c>
      <c r="AB156" s="18">
        <f>IF(DataTable[[#This Row],[explanation1]]="U",1,IF(DataTable[[#This Row],[explanation2]]="U",1,0))</f>
        <v>0</v>
      </c>
      <c r="AC156" s="18">
        <f>IF(DataTable[[#This Row],[explanation1]]="O",1,IF(DataTable[[#This Row],[explanation2]]="O",1,0))</f>
        <v>1</v>
      </c>
      <c r="AD156" s="18">
        <f>IF(DataTable[[#This Row],[explanation1]]="TP",1,IF(DataTable[[#This Row],[explanation2]]="TP",1,0))</f>
        <v>0</v>
      </c>
      <c r="AE156" s="18">
        <f>IF(DataTable[[#This Row],[explanation1]]="WP",1,IF(DataTable[[#This Row],[explanation2]]="WP",1,0))</f>
        <v>0</v>
      </c>
      <c r="AF156" s="18">
        <f>IF(DataTable[[#This Row],[explanation1]]="BR",1,IF(DataTable[[#This Row],[explanation2]]="BR",1,0))</f>
        <v>0</v>
      </c>
      <c r="AG156" s="18">
        <f>IF(DataTable[[#This Row],[explanation1]]="LS",1,IF(DataTable[[#This Row],[explanation2]]="LS",1,0))</f>
        <v>0</v>
      </c>
      <c r="AH156" s="37" t="s">
        <v>239</v>
      </c>
    </row>
    <row r="157" spans="1:34" x14ac:dyDescent="0.2">
      <c r="A157" s="13">
        <v>155</v>
      </c>
      <c r="B157" s="14" t="s">
        <v>70</v>
      </c>
      <c r="C157" s="15" t="s">
        <v>74</v>
      </c>
      <c r="D157" s="16">
        <v>50</v>
      </c>
      <c r="E157" s="14" t="s">
        <v>58</v>
      </c>
      <c r="F157" s="16">
        <v>40</v>
      </c>
      <c r="G157" s="14" t="s">
        <v>70</v>
      </c>
      <c r="H157" s="15" t="s">
        <v>48</v>
      </c>
      <c r="I157" s="16" t="str">
        <f t="shared" si="2"/>
        <v>M5</v>
      </c>
      <c r="J157" s="14" t="s">
        <v>78</v>
      </c>
      <c r="K157" s="16" t="s">
        <v>49</v>
      </c>
      <c r="L157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157" s="15">
        <f>IF(DataTable[[#This Row],[3x head (H)/tail (T)?]]=DataTable[[#This Row],[then 4th: H/T/B/0]],1,0)</f>
        <v>0</v>
      </c>
      <c r="N157" s="15">
        <f>IF(DataTable[[#This Row],[then 4th: H/T/B/0]]="B",1,0)</f>
        <v>0</v>
      </c>
      <c r="O157" s="14" t="s">
        <v>228</v>
      </c>
      <c r="P157" s="15">
        <v>14</v>
      </c>
      <c r="Q157" s="17" t="s">
        <v>405</v>
      </c>
      <c r="R157" s="16" t="s">
        <v>53</v>
      </c>
      <c r="S157" s="18" t="s">
        <v>61</v>
      </c>
      <c r="T157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4</v>
      </c>
      <c r="U157" s="19" t="s">
        <v>173</v>
      </c>
      <c r="V157" s="20" t="s">
        <v>8</v>
      </c>
      <c r="W157" s="20"/>
      <c r="X157" s="18" t="s">
        <v>240</v>
      </c>
      <c r="Y157" s="18">
        <f>IF(DataTable[[#This Row],[explanation1]]="BL",1,IF(DataTable[[#This Row],[explanation2]]="BL",1,IF(DataTable[[#This Row],[explanation1]]="BR",1,IF(DataTable[[#This Row],[explanation2]]="BR",1,0))))</f>
        <v>0</v>
      </c>
      <c r="Z157" s="18">
        <f>IF(DataTable[[#This Row],[explanation1]]="BL",1,IF(DataTable[[#This Row],[explanation2]]="BL",1,0))</f>
        <v>0</v>
      </c>
      <c r="AA157" s="18">
        <f>IF(DataTable[[#This Row],[explanation1]]="WJ",1,IF(DataTable[[#This Row],[explanation2]]="WJ",1,0))</f>
        <v>0</v>
      </c>
      <c r="AB157" s="18">
        <f>IF(DataTable[[#This Row],[explanation1]]="U",1,IF(DataTable[[#This Row],[explanation2]]="U",1,0))</f>
        <v>1</v>
      </c>
      <c r="AC157" s="18">
        <f>IF(DataTable[[#This Row],[explanation1]]="O",1,IF(DataTable[[#This Row],[explanation2]]="O",1,0))</f>
        <v>0</v>
      </c>
      <c r="AD157" s="18">
        <f>IF(DataTable[[#This Row],[explanation1]]="TP",1,IF(DataTable[[#This Row],[explanation2]]="TP",1,0))</f>
        <v>0</v>
      </c>
      <c r="AE157" s="18">
        <f>IF(DataTable[[#This Row],[explanation1]]="WP",1,IF(DataTable[[#This Row],[explanation2]]="WP",1,0))</f>
        <v>0</v>
      </c>
      <c r="AF157" s="18">
        <f>IF(DataTable[[#This Row],[explanation1]]="BR",1,IF(DataTable[[#This Row],[explanation2]]="BR",1,0))</f>
        <v>0</v>
      </c>
      <c r="AG157" s="18">
        <f>IF(DataTable[[#This Row],[explanation1]]="LS",1,IF(DataTable[[#This Row],[explanation2]]="LS",1,0))</f>
        <v>0</v>
      </c>
      <c r="AH157" s="30" t="s">
        <v>241</v>
      </c>
    </row>
    <row r="158" spans="1:34" x14ac:dyDescent="0.2">
      <c r="A158" s="22">
        <v>156</v>
      </c>
      <c r="B158" s="23" t="s">
        <v>60</v>
      </c>
      <c r="C158" s="24" t="s">
        <v>45</v>
      </c>
      <c r="D158" s="25">
        <v>50</v>
      </c>
      <c r="E158" s="23" t="s">
        <v>58</v>
      </c>
      <c r="F158" s="25">
        <v>45</v>
      </c>
      <c r="G158" s="23" t="s">
        <v>60</v>
      </c>
      <c r="H158" s="24" t="s">
        <v>48</v>
      </c>
      <c r="I158" s="25" t="str">
        <f t="shared" si="2"/>
        <v>L5</v>
      </c>
      <c r="J158" s="23" t="s">
        <v>78</v>
      </c>
      <c r="K158" s="25" t="s">
        <v>78</v>
      </c>
      <c r="L158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58" s="24">
        <f>IF(DataTable[[#This Row],[3x head (H)/tail (T)?]]=DataTable[[#This Row],[then 4th: H/T/B/0]],1,0)</f>
        <v>1</v>
      </c>
      <c r="N158" s="24">
        <f>IF(DataTable[[#This Row],[then 4th: H/T/B/0]]="B",1,0)</f>
        <v>0</v>
      </c>
      <c r="O158" s="23" t="s">
        <v>228</v>
      </c>
      <c r="P158" s="24">
        <v>14</v>
      </c>
      <c r="Q158" s="26" t="s">
        <v>405</v>
      </c>
      <c r="R158" s="25" t="s">
        <v>53</v>
      </c>
      <c r="S158" s="27" t="s">
        <v>75</v>
      </c>
      <c r="T158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158" s="28" t="s">
        <v>76</v>
      </c>
      <c r="V158" s="29" t="s">
        <v>13</v>
      </c>
      <c r="W158" s="29" t="s">
        <v>8</v>
      </c>
      <c r="X158" s="27" t="s">
        <v>158</v>
      </c>
      <c r="Y158" s="27">
        <f>IF(DataTable[[#This Row],[explanation1]]="BL",1,IF(DataTable[[#This Row],[explanation2]]="BL",1,IF(DataTable[[#This Row],[explanation1]]="BR",1,IF(DataTable[[#This Row],[explanation2]]="BR",1,0))))</f>
        <v>0</v>
      </c>
      <c r="Z158" s="18">
        <f>IF(DataTable[[#This Row],[explanation1]]="BL",1,IF(DataTable[[#This Row],[explanation2]]="BL",1,0))</f>
        <v>0</v>
      </c>
      <c r="AA158" s="18">
        <f>IF(DataTable[[#This Row],[explanation1]]="WJ",1,IF(DataTable[[#This Row],[explanation2]]="WJ",1,0))</f>
        <v>0</v>
      </c>
      <c r="AB158" s="18">
        <f>IF(DataTable[[#This Row],[explanation1]]="U",1,IF(DataTable[[#This Row],[explanation2]]="U",1,0))</f>
        <v>1</v>
      </c>
      <c r="AC158" s="18">
        <f>IF(DataTable[[#This Row],[explanation1]]="O",1,IF(DataTable[[#This Row],[explanation2]]="O",1,0))</f>
        <v>0</v>
      </c>
      <c r="AD158" s="18">
        <f>IF(DataTable[[#This Row],[explanation1]]="TP",1,IF(DataTable[[#This Row],[explanation2]]="TP",1,0))</f>
        <v>0</v>
      </c>
      <c r="AE158" s="18">
        <f>IF(DataTable[[#This Row],[explanation1]]="WP",1,IF(DataTable[[#This Row],[explanation2]]="WP",1,0))</f>
        <v>0</v>
      </c>
      <c r="AF158" s="18">
        <f>IF(DataTable[[#This Row],[explanation1]]="BR",1,IF(DataTable[[#This Row],[explanation2]]="BR",1,0))</f>
        <v>0</v>
      </c>
      <c r="AG158" s="18">
        <f>IF(DataTable[[#This Row],[explanation1]]="LS",1,IF(DataTable[[#This Row],[explanation2]]="LS",1,0))</f>
        <v>1</v>
      </c>
      <c r="AH158" s="37" t="s">
        <v>242</v>
      </c>
    </row>
    <row r="159" spans="1:34" x14ac:dyDescent="0.2">
      <c r="A159" s="13">
        <v>157</v>
      </c>
      <c r="B159" s="14" t="s">
        <v>70</v>
      </c>
      <c r="C159" s="15" t="s">
        <v>74</v>
      </c>
      <c r="D159" s="16">
        <v>50</v>
      </c>
      <c r="E159" s="14" t="s">
        <v>58</v>
      </c>
      <c r="F159" s="16">
        <v>71</v>
      </c>
      <c r="G159" s="14" t="s">
        <v>47</v>
      </c>
      <c r="H159" s="15" t="s">
        <v>48</v>
      </c>
      <c r="I159" s="16" t="str">
        <f t="shared" si="2"/>
        <v>R</v>
      </c>
      <c r="J159" s="14" t="s">
        <v>49</v>
      </c>
      <c r="K159" s="16">
        <v>0</v>
      </c>
      <c r="L159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59" s="15">
        <f>IF(DataTable[[#This Row],[3x head (H)/tail (T)?]]=DataTable[[#This Row],[then 4th: H/T/B/0]],1,0)</f>
        <v>0</v>
      </c>
      <c r="N159" s="15">
        <f>IF(DataTable[[#This Row],[then 4th: H/T/B/0]]="B",1,0)</f>
        <v>0</v>
      </c>
      <c r="O159" s="14" t="s">
        <v>228</v>
      </c>
      <c r="P159" s="15">
        <v>14</v>
      </c>
      <c r="Q159" s="17" t="s">
        <v>405</v>
      </c>
      <c r="R159" s="16" t="s">
        <v>53</v>
      </c>
      <c r="S159" s="18" t="s">
        <v>103</v>
      </c>
      <c r="T159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5</v>
      </c>
      <c r="U159" s="19" t="s">
        <v>111</v>
      </c>
      <c r="V159" s="20" t="s">
        <v>8</v>
      </c>
      <c r="W159" s="20"/>
      <c r="X159" s="18" t="s">
        <v>243</v>
      </c>
      <c r="Y159" s="18">
        <f>IF(DataTable[[#This Row],[explanation1]]="BL",1,IF(DataTable[[#This Row],[explanation2]]="BL",1,IF(DataTable[[#This Row],[explanation1]]="BR",1,IF(DataTable[[#This Row],[explanation2]]="BR",1,0))))</f>
        <v>0</v>
      </c>
      <c r="Z159" s="18">
        <f>IF(DataTable[[#This Row],[explanation1]]="BL",1,IF(DataTable[[#This Row],[explanation2]]="BL",1,0))</f>
        <v>0</v>
      </c>
      <c r="AA159" s="18">
        <f>IF(DataTable[[#This Row],[explanation1]]="WJ",1,IF(DataTable[[#This Row],[explanation2]]="WJ",1,0))</f>
        <v>0</v>
      </c>
      <c r="AB159" s="18">
        <f>IF(DataTable[[#This Row],[explanation1]]="U",1,IF(DataTable[[#This Row],[explanation2]]="U",1,0))</f>
        <v>1</v>
      </c>
      <c r="AC159" s="18">
        <f>IF(DataTable[[#This Row],[explanation1]]="O",1,IF(DataTable[[#This Row],[explanation2]]="O",1,0))</f>
        <v>0</v>
      </c>
      <c r="AD159" s="18">
        <f>IF(DataTable[[#This Row],[explanation1]]="TP",1,IF(DataTable[[#This Row],[explanation2]]="TP",1,0))</f>
        <v>0</v>
      </c>
      <c r="AE159" s="18">
        <f>IF(DataTable[[#This Row],[explanation1]]="WP",1,IF(DataTable[[#This Row],[explanation2]]="WP",1,0))</f>
        <v>0</v>
      </c>
      <c r="AF159" s="18">
        <f>IF(DataTable[[#This Row],[explanation1]]="BR",1,IF(DataTable[[#This Row],[explanation2]]="BR",1,0))</f>
        <v>0</v>
      </c>
      <c r="AG159" s="18">
        <f>IF(DataTable[[#This Row],[explanation1]]="LS",1,IF(DataTable[[#This Row],[explanation2]]="LS",1,0))</f>
        <v>0</v>
      </c>
      <c r="AH159" s="30" t="s">
        <v>244</v>
      </c>
    </row>
    <row r="160" spans="1:34" x14ac:dyDescent="0.2">
      <c r="A160" s="22">
        <v>158</v>
      </c>
      <c r="B160" s="23" t="s">
        <v>70</v>
      </c>
      <c r="C160" s="24" t="s">
        <v>74</v>
      </c>
      <c r="D160" s="25">
        <v>1</v>
      </c>
      <c r="E160" s="23" t="s">
        <v>58</v>
      </c>
      <c r="F160" s="25">
        <v>60</v>
      </c>
      <c r="G160" s="23" t="s">
        <v>47</v>
      </c>
      <c r="H160" s="24" t="s">
        <v>48</v>
      </c>
      <c r="I160" s="25" t="str">
        <f t="shared" si="2"/>
        <v>R</v>
      </c>
      <c r="J160" s="23" t="s">
        <v>78</v>
      </c>
      <c r="K160" s="25">
        <v>0</v>
      </c>
      <c r="L160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60" s="24">
        <f>IF(DataTable[[#This Row],[3x head (H)/tail (T)?]]=DataTable[[#This Row],[then 4th: H/T/B/0]],1,0)</f>
        <v>0</v>
      </c>
      <c r="N160" s="24">
        <f>IF(DataTable[[#This Row],[then 4th: H/T/B/0]]="B",1,0)</f>
        <v>0</v>
      </c>
      <c r="O160" s="23" t="s">
        <v>228</v>
      </c>
      <c r="P160" s="24">
        <v>14</v>
      </c>
      <c r="Q160" s="26" t="s">
        <v>405</v>
      </c>
      <c r="R160" s="25" t="s">
        <v>53</v>
      </c>
      <c r="S160" s="27" t="s">
        <v>75</v>
      </c>
      <c r="T160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160" s="28" t="s">
        <v>76</v>
      </c>
      <c r="V160" s="29" t="s">
        <v>6</v>
      </c>
      <c r="W160" s="29"/>
      <c r="X160" s="27"/>
      <c r="Y160" s="27">
        <f>IF(DataTable[[#This Row],[explanation1]]="BL",1,IF(DataTable[[#This Row],[explanation2]]="BL",1,IF(DataTable[[#This Row],[explanation1]]="BR",1,IF(DataTable[[#This Row],[explanation2]]="BR",1,0))))</f>
        <v>1</v>
      </c>
      <c r="Z160" s="18">
        <f>IF(DataTable[[#This Row],[explanation1]]="BL",1,IF(DataTable[[#This Row],[explanation2]]="BL",1,0))</f>
        <v>1</v>
      </c>
      <c r="AA160" s="18">
        <f>IF(DataTable[[#This Row],[explanation1]]="WJ",1,IF(DataTable[[#This Row],[explanation2]]="WJ",1,0))</f>
        <v>0</v>
      </c>
      <c r="AB160" s="18">
        <f>IF(DataTable[[#This Row],[explanation1]]="U",1,IF(DataTable[[#This Row],[explanation2]]="U",1,0))</f>
        <v>0</v>
      </c>
      <c r="AC160" s="18">
        <f>IF(DataTable[[#This Row],[explanation1]]="O",1,IF(DataTable[[#This Row],[explanation2]]="O",1,0))</f>
        <v>0</v>
      </c>
      <c r="AD160" s="18">
        <f>IF(DataTable[[#This Row],[explanation1]]="TP",1,IF(DataTable[[#This Row],[explanation2]]="TP",1,0))</f>
        <v>0</v>
      </c>
      <c r="AE160" s="18">
        <f>IF(DataTable[[#This Row],[explanation1]]="WP",1,IF(DataTable[[#This Row],[explanation2]]="WP",1,0))</f>
        <v>0</v>
      </c>
      <c r="AF160" s="18">
        <f>IF(DataTable[[#This Row],[explanation1]]="BR",1,IF(DataTable[[#This Row],[explanation2]]="BR",1,0))</f>
        <v>0</v>
      </c>
      <c r="AG160" s="18">
        <f>IF(DataTable[[#This Row],[explanation1]]="LS",1,IF(DataTable[[#This Row],[explanation2]]="LS",1,0))</f>
        <v>0</v>
      </c>
      <c r="AH160" s="37" t="s">
        <v>6</v>
      </c>
    </row>
    <row r="161" spans="1:34" x14ac:dyDescent="0.2">
      <c r="A161" s="13">
        <v>159</v>
      </c>
      <c r="B161" s="14" t="s">
        <v>70</v>
      </c>
      <c r="C161" s="15" t="s">
        <v>74</v>
      </c>
      <c r="D161" s="16">
        <v>1</v>
      </c>
      <c r="E161" s="14" t="s">
        <v>58</v>
      </c>
      <c r="F161" s="16">
        <v>20</v>
      </c>
      <c r="G161" s="14" t="s">
        <v>47</v>
      </c>
      <c r="H161" s="15" t="s">
        <v>48</v>
      </c>
      <c r="I161" s="16" t="str">
        <f t="shared" si="2"/>
        <v>R</v>
      </c>
      <c r="J161" s="14" t="s">
        <v>78</v>
      </c>
      <c r="K161" s="16" t="s">
        <v>49</v>
      </c>
      <c r="L161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161" s="15">
        <f>IF(DataTable[[#This Row],[3x head (H)/tail (T)?]]=DataTable[[#This Row],[then 4th: H/T/B/0]],1,0)</f>
        <v>0</v>
      </c>
      <c r="N161" s="15">
        <f>IF(DataTable[[#This Row],[then 4th: H/T/B/0]]="B",1,0)</f>
        <v>0</v>
      </c>
      <c r="O161" s="14" t="s">
        <v>228</v>
      </c>
      <c r="P161" s="15">
        <v>14</v>
      </c>
      <c r="Q161" s="17" t="s">
        <v>405</v>
      </c>
      <c r="R161" s="16" t="s">
        <v>53</v>
      </c>
      <c r="S161" s="18" t="s">
        <v>54</v>
      </c>
      <c r="T161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161" s="19" t="s">
        <v>245</v>
      </c>
      <c r="V161" s="20" t="s">
        <v>6</v>
      </c>
      <c r="W161" s="20"/>
      <c r="X161" s="18"/>
      <c r="Y161" s="18">
        <f>IF(DataTable[[#This Row],[explanation1]]="BL",1,IF(DataTable[[#This Row],[explanation2]]="BL",1,IF(DataTable[[#This Row],[explanation1]]="BR",1,IF(DataTable[[#This Row],[explanation2]]="BR",1,0))))</f>
        <v>1</v>
      </c>
      <c r="Z161" s="18">
        <f>IF(DataTable[[#This Row],[explanation1]]="BL",1,IF(DataTable[[#This Row],[explanation2]]="BL",1,0))</f>
        <v>1</v>
      </c>
      <c r="AA161" s="18">
        <f>IF(DataTable[[#This Row],[explanation1]]="WJ",1,IF(DataTable[[#This Row],[explanation2]]="WJ",1,0))</f>
        <v>0</v>
      </c>
      <c r="AB161" s="18">
        <f>IF(DataTable[[#This Row],[explanation1]]="U",1,IF(DataTable[[#This Row],[explanation2]]="U",1,0))</f>
        <v>0</v>
      </c>
      <c r="AC161" s="18">
        <f>IF(DataTable[[#This Row],[explanation1]]="O",1,IF(DataTable[[#This Row],[explanation2]]="O",1,0))</f>
        <v>0</v>
      </c>
      <c r="AD161" s="18">
        <f>IF(DataTable[[#This Row],[explanation1]]="TP",1,IF(DataTable[[#This Row],[explanation2]]="TP",1,0))</f>
        <v>0</v>
      </c>
      <c r="AE161" s="18">
        <f>IF(DataTable[[#This Row],[explanation1]]="WP",1,IF(DataTable[[#This Row],[explanation2]]="WP",1,0))</f>
        <v>0</v>
      </c>
      <c r="AF161" s="18">
        <f>IF(DataTable[[#This Row],[explanation1]]="BR",1,IF(DataTable[[#This Row],[explanation2]]="BR",1,0))</f>
        <v>0</v>
      </c>
      <c r="AG161" s="18">
        <f>IF(DataTable[[#This Row],[explanation1]]="LS",1,IF(DataTable[[#This Row],[explanation2]]="LS",1,0))</f>
        <v>0</v>
      </c>
      <c r="AH161" s="30" t="s">
        <v>6</v>
      </c>
    </row>
    <row r="162" spans="1:34" x14ac:dyDescent="0.2">
      <c r="A162" s="22">
        <v>160</v>
      </c>
      <c r="B162" s="23" t="s">
        <v>70</v>
      </c>
      <c r="C162" s="24" t="s">
        <v>45</v>
      </c>
      <c r="D162" s="25">
        <v>1</v>
      </c>
      <c r="E162" s="23" t="s">
        <v>58</v>
      </c>
      <c r="F162" s="25">
        <v>26</v>
      </c>
      <c r="G162" s="23" t="s">
        <v>47</v>
      </c>
      <c r="H162" s="24" t="s">
        <v>48</v>
      </c>
      <c r="I162" s="25" t="str">
        <f t="shared" si="2"/>
        <v>R</v>
      </c>
      <c r="J162" s="23" t="s">
        <v>78</v>
      </c>
      <c r="K162" s="25" t="s">
        <v>50</v>
      </c>
      <c r="L162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62" s="24">
        <f>IF(DataTable[[#This Row],[3x head (H)/tail (T)?]]=DataTable[[#This Row],[then 4th: H/T/B/0]],1,0)</f>
        <v>0</v>
      </c>
      <c r="N162" s="24">
        <f>IF(DataTable[[#This Row],[then 4th: H/T/B/0]]="B",1,0)</f>
        <v>1</v>
      </c>
      <c r="O162" s="23" t="s">
        <v>228</v>
      </c>
      <c r="P162" s="24">
        <v>14</v>
      </c>
      <c r="Q162" s="26" t="s">
        <v>405</v>
      </c>
      <c r="R162" s="25" t="s">
        <v>53</v>
      </c>
      <c r="S162" s="27" t="s">
        <v>75</v>
      </c>
      <c r="T162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162" s="28" t="s">
        <v>76</v>
      </c>
      <c r="V162" s="29" t="s">
        <v>6</v>
      </c>
      <c r="W162" s="29"/>
      <c r="X162" s="27"/>
      <c r="Y162" s="27">
        <f>IF(DataTable[[#This Row],[explanation1]]="BL",1,IF(DataTable[[#This Row],[explanation2]]="BL",1,IF(DataTable[[#This Row],[explanation1]]="BR",1,IF(DataTable[[#This Row],[explanation2]]="BR",1,0))))</f>
        <v>1</v>
      </c>
      <c r="Z162" s="18">
        <f>IF(DataTable[[#This Row],[explanation1]]="BL",1,IF(DataTable[[#This Row],[explanation2]]="BL",1,0))</f>
        <v>1</v>
      </c>
      <c r="AA162" s="18">
        <f>IF(DataTable[[#This Row],[explanation1]]="WJ",1,IF(DataTable[[#This Row],[explanation2]]="WJ",1,0))</f>
        <v>0</v>
      </c>
      <c r="AB162" s="18">
        <f>IF(DataTable[[#This Row],[explanation1]]="U",1,IF(DataTable[[#This Row],[explanation2]]="U",1,0))</f>
        <v>0</v>
      </c>
      <c r="AC162" s="18">
        <f>IF(DataTable[[#This Row],[explanation1]]="O",1,IF(DataTable[[#This Row],[explanation2]]="O",1,0))</f>
        <v>0</v>
      </c>
      <c r="AD162" s="18">
        <f>IF(DataTable[[#This Row],[explanation1]]="TP",1,IF(DataTable[[#This Row],[explanation2]]="TP",1,0))</f>
        <v>0</v>
      </c>
      <c r="AE162" s="18">
        <f>IF(DataTable[[#This Row],[explanation1]]="WP",1,IF(DataTable[[#This Row],[explanation2]]="WP",1,0))</f>
        <v>0</v>
      </c>
      <c r="AF162" s="18">
        <f>IF(DataTable[[#This Row],[explanation1]]="BR",1,IF(DataTable[[#This Row],[explanation2]]="BR",1,0))</f>
        <v>0</v>
      </c>
      <c r="AG162" s="18">
        <f>IF(DataTable[[#This Row],[explanation1]]="LS",1,IF(DataTable[[#This Row],[explanation2]]="LS",1,0))</f>
        <v>0</v>
      </c>
      <c r="AH162" s="37" t="s">
        <v>6</v>
      </c>
    </row>
    <row r="163" spans="1:34" x14ac:dyDescent="0.2">
      <c r="A163" s="13">
        <v>161</v>
      </c>
      <c r="B163" s="14" t="s">
        <v>70</v>
      </c>
      <c r="C163" s="15" t="s">
        <v>45</v>
      </c>
      <c r="D163" s="16">
        <v>1</v>
      </c>
      <c r="E163" s="14" t="s">
        <v>58</v>
      </c>
      <c r="F163" s="16">
        <v>24</v>
      </c>
      <c r="G163" s="14" t="s">
        <v>47</v>
      </c>
      <c r="H163" s="15" t="s">
        <v>48</v>
      </c>
      <c r="I163" s="16" t="str">
        <f t="shared" si="2"/>
        <v>R</v>
      </c>
      <c r="J163" s="14" t="s">
        <v>78</v>
      </c>
      <c r="K163" s="16" t="s">
        <v>50</v>
      </c>
      <c r="L163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63" s="15">
        <f>IF(DataTable[[#This Row],[3x head (H)/tail (T)?]]=DataTable[[#This Row],[then 4th: H/T/B/0]],1,0)</f>
        <v>0</v>
      </c>
      <c r="N163" s="15">
        <f>IF(DataTable[[#This Row],[then 4th: H/T/B/0]]="B",1,0)</f>
        <v>1</v>
      </c>
      <c r="O163" s="14" t="s">
        <v>228</v>
      </c>
      <c r="P163" s="15">
        <v>14</v>
      </c>
      <c r="Q163" s="17" t="s">
        <v>405</v>
      </c>
      <c r="R163" s="16" t="s">
        <v>53</v>
      </c>
      <c r="S163" s="18" t="s">
        <v>75</v>
      </c>
      <c r="T163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163" s="19" t="s">
        <v>76</v>
      </c>
      <c r="V163" s="20" t="s">
        <v>6</v>
      </c>
      <c r="W163" s="20" t="s">
        <v>8</v>
      </c>
      <c r="X163" s="18" t="s">
        <v>204</v>
      </c>
      <c r="Y163" s="18">
        <f>IF(DataTable[[#This Row],[explanation1]]="BL",1,IF(DataTable[[#This Row],[explanation2]]="BL",1,IF(DataTable[[#This Row],[explanation1]]="BR",1,IF(DataTable[[#This Row],[explanation2]]="BR",1,0))))</f>
        <v>1</v>
      </c>
      <c r="Z163" s="18">
        <f>IF(DataTable[[#This Row],[explanation1]]="BL",1,IF(DataTable[[#This Row],[explanation2]]="BL",1,0))</f>
        <v>1</v>
      </c>
      <c r="AA163" s="18">
        <f>IF(DataTable[[#This Row],[explanation1]]="WJ",1,IF(DataTable[[#This Row],[explanation2]]="WJ",1,0))</f>
        <v>0</v>
      </c>
      <c r="AB163" s="18">
        <f>IF(DataTable[[#This Row],[explanation1]]="U",1,IF(DataTable[[#This Row],[explanation2]]="U",1,0))</f>
        <v>1</v>
      </c>
      <c r="AC163" s="18">
        <f>IF(DataTable[[#This Row],[explanation1]]="O",1,IF(DataTable[[#This Row],[explanation2]]="O",1,0))</f>
        <v>0</v>
      </c>
      <c r="AD163" s="18">
        <f>IF(DataTable[[#This Row],[explanation1]]="TP",1,IF(DataTable[[#This Row],[explanation2]]="TP",1,0))</f>
        <v>0</v>
      </c>
      <c r="AE163" s="18">
        <f>IF(DataTable[[#This Row],[explanation1]]="WP",1,IF(DataTable[[#This Row],[explanation2]]="WP",1,0))</f>
        <v>0</v>
      </c>
      <c r="AF163" s="18">
        <f>IF(DataTable[[#This Row],[explanation1]]="BR",1,IF(DataTable[[#This Row],[explanation2]]="BR",1,0))</f>
        <v>0</v>
      </c>
      <c r="AG163" s="18">
        <f>IF(DataTable[[#This Row],[explanation1]]="LS",1,IF(DataTable[[#This Row],[explanation2]]="LS",1,0))</f>
        <v>0</v>
      </c>
      <c r="AH163" s="30" t="s">
        <v>246</v>
      </c>
    </row>
    <row r="164" spans="1:34" x14ac:dyDescent="0.2">
      <c r="A164" s="22">
        <v>162</v>
      </c>
      <c r="B164" s="23" t="s">
        <v>70</v>
      </c>
      <c r="C164" s="24" t="s">
        <v>45</v>
      </c>
      <c r="D164" s="25">
        <v>1</v>
      </c>
      <c r="E164" s="23" t="s">
        <v>58</v>
      </c>
      <c r="F164" s="25">
        <v>56</v>
      </c>
      <c r="G164" s="23" t="s">
        <v>70</v>
      </c>
      <c r="H164" s="24" t="s">
        <v>48</v>
      </c>
      <c r="I164" s="25" t="str">
        <f t="shared" si="2"/>
        <v>M5</v>
      </c>
      <c r="J164" s="23" t="s">
        <v>78</v>
      </c>
      <c r="K164" s="25" t="s">
        <v>49</v>
      </c>
      <c r="L164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164" s="24">
        <f>IF(DataTable[[#This Row],[3x head (H)/tail (T)?]]=DataTable[[#This Row],[then 4th: H/T/B/0]],1,0)</f>
        <v>0</v>
      </c>
      <c r="N164" s="24">
        <f>IF(DataTable[[#This Row],[then 4th: H/T/B/0]]="B",1,0)</f>
        <v>0</v>
      </c>
      <c r="O164" s="23" t="s">
        <v>228</v>
      </c>
      <c r="P164" s="24">
        <v>14</v>
      </c>
      <c r="Q164" s="26" t="s">
        <v>405</v>
      </c>
      <c r="R164" s="25" t="s">
        <v>53</v>
      </c>
      <c r="S164" s="27" t="s">
        <v>103</v>
      </c>
      <c r="T164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5</v>
      </c>
      <c r="U164" s="28" t="s">
        <v>247</v>
      </c>
      <c r="V164" s="29" t="s">
        <v>13</v>
      </c>
      <c r="W164" s="29"/>
      <c r="X164" s="27"/>
      <c r="Y164" s="27">
        <f>IF(DataTable[[#This Row],[explanation1]]="BL",1,IF(DataTable[[#This Row],[explanation2]]="BL",1,IF(DataTable[[#This Row],[explanation1]]="BR",1,IF(DataTable[[#This Row],[explanation2]]="BR",1,0))))</f>
        <v>0</v>
      </c>
      <c r="Z164" s="18">
        <f>IF(DataTable[[#This Row],[explanation1]]="BL",1,IF(DataTable[[#This Row],[explanation2]]="BL",1,0))</f>
        <v>0</v>
      </c>
      <c r="AA164" s="18">
        <f>IF(DataTable[[#This Row],[explanation1]]="WJ",1,IF(DataTable[[#This Row],[explanation2]]="WJ",1,0))</f>
        <v>0</v>
      </c>
      <c r="AB164" s="18">
        <f>IF(DataTable[[#This Row],[explanation1]]="U",1,IF(DataTable[[#This Row],[explanation2]]="U",1,0))</f>
        <v>0</v>
      </c>
      <c r="AC164" s="18">
        <f>IF(DataTable[[#This Row],[explanation1]]="O",1,IF(DataTable[[#This Row],[explanation2]]="O",1,0))</f>
        <v>0</v>
      </c>
      <c r="AD164" s="18">
        <f>IF(DataTable[[#This Row],[explanation1]]="TP",1,IF(DataTable[[#This Row],[explanation2]]="TP",1,0))</f>
        <v>0</v>
      </c>
      <c r="AE164" s="18">
        <f>IF(DataTable[[#This Row],[explanation1]]="WP",1,IF(DataTable[[#This Row],[explanation2]]="WP",1,0))</f>
        <v>0</v>
      </c>
      <c r="AF164" s="18">
        <f>IF(DataTable[[#This Row],[explanation1]]="BR",1,IF(DataTable[[#This Row],[explanation2]]="BR",1,0))</f>
        <v>0</v>
      </c>
      <c r="AG164" s="18">
        <f>IF(DataTable[[#This Row],[explanation1]]="LS",1,IF(DataTable[[#This Row],[explanation2]]="LS",1,0))</f>
        <v>1</v>
      </c>
      <c r="AH164" s="37" t="s">
        <v>13</v>
      </c>
    </row>
    <row r="165" spans="1:34" x14ac:dyDescent="0.2">
      <c r="A165" s="13">
        <v>163</v>
      </c>
      <c r="B165" s="14" t="s">
        <v>60</v>
      </c>
      <c r="C165" s="15" t="s">
        <v>45</v>
      </c>
      <c r="D165" s="16">
        <v>50</v>
      </c>
      <c r="E165" s="14" t="s">
        <v>58</v>
      </c>
      <c r="F165" s="16">
        <v>82</v>
      </c>
      <c r="G165" s="14" t="s">
        <v>47</v>
      </c>
      <c r="H165" s="15" t="s">
        <v>48</v>
      </c>
      <c r="I165" s="16" t="str">
        <f t="shared" si="2"/>
        <v>R</v>
      </c>
      <c r="J165" s="14" t="s">
        <v>78</v>
      </c>
      <c r="K165" s="16" t="s">
        <v>49</v>
      </c>
      <c r="L165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165" s="15">
        <f>IF(DataTable[[#This Row],[3x head (H)/tail (T)?]]=DataTable[[#This Row],[then 4th: H/T/B/0]],1,0)</f>
        <v>0</v>
      </c>
      <c r="N165" s="15">
        <f>IF(DataTable[[#This Row],[then 4th: H/T/B/0]]="B",1,0)</f>
        <v>0</v>
      </c>
      <c r="O165" s="14" t="s">
        <v>228</v>
      </c>
      <c r="P165" s="15">
        <v>14</v>
      </c>
      <c r="Q165" s="17" t="s">
        <v>405</v>
      </c>
      <c r="R165" s="16" t="s">
        <v>53</v>
      </c>
      <c r="S165" s="18" t="s">
        <v>103</v>
      </c>
      <c r="T165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5</v>
      </c>
      <c r="U165" s="19" t="s">
        <v>248</v>
      </c>
      <c r="V165" s="20" t="s">
        <v>8</v>
      </c>
      <c r="W165" s="20"/>
      <c r="X165" s="18" t="s">
        <v>249</v>
      </c>
      <c r="Y165" s="18">
        <f>IF(DataTable[[#This Row],[explanation1]]="BL",1,IF(DataTable[[#This Row],[explanation2]]="BL",1,IF(DataTable[[#This Row],[explanation1]]="BR",1,IF(DataTable[[#This Row],[explanation2]]="BR",1,0))))</f>
        <v>0</v>
      </c>
      <c r="Z165" s="18">
        <f>IF(DataTable[[#This Row],[explanation1]]="BL",1,IF(DataTable[[#This Row],[explanation2]]="BL",1,0))</f>
        <v>0</v>
      </c>
      <c r="AA165" s="18">
        <f>IF(DataTable[[#This Row],[explanation1]]="WJ",1,IF(DataTable[[#This Row],[explanation2]]="WJ",1,0))</f>
        <v>0</v>
      </c>
      <c r="AB165" s="18">
        <f>IF(DataTable[[#This Row],[explanation1]]="U",1,IF(DataTable[[#This Row],[explanation2]]="U",1,0))</f>
        <v>1</v>
      </c>
      <c r="AC165" s="18">
        <f>IF(DataTable[[#This Row],[explanation1]]="O",1,IF(DataTable[[#This Row],[explanation2]]="O",1,0))</f>
        <v>0</v>
      </c>
      <c r="AD165" s="18">
        <f>IF(DataTable[[#This Row],[explanation1]]="TP",1,IF(DataTable[[#This Row],[explanation2]]="TP",1,0))</f>
        <v>0</v>
      </c>
      <c r="AE165" s="18">
        <f>IF(DataTable[[#This Row],[explanation1]]="WP",1,IF(DataTable[[#This Row],[explanation2]]="WP",1,0))</f>
        <v>0</v>
      </c>
      <c r="AF165" s="18">
        <f>IF(DataTable[[#This Row],[explanation1]]="BR",1,IF(DataTable[[#This Row],[explanation2]]="BR",1,0))</f>
        <v>0</v>
      </c>
      <c r="AG165" s="18">
        <f>IF(DataTable[[#This Row],[explanation1]]="LS",1,IF(DataTable[[#This Row],[explanation2]]="LS",1,0))</f>
        <v>0</v>
      </c>
      <c r="AH165" s="30" t="s">
        <v>250</v>
      </c>
    </row>
    <row r="166" spans="1:34" x14ac:dyDescent="0.2">
      <c r="A166" s="22">
        <v>164</v>
      </c>
      <c r="B166" s="23" t="s">
        <v>60</v>
      </c>
      <c r="C166" s="24" t="s">
        <v>45</v>
      </c>
      <c r="D166" s="25">
        <v>50</v>
      </c>
      <c r="E166" s="23" t="s">
        <v>58</v>
      </c>
      <c r="F166" s="25">
        <v>64</v>
      </c>
      <c r="G166" s="23" t="s">
        <v>60</v>
      </c>
      <c r="H166" s="24" t="s">
        <v>48</v>
      </c>
      <c r="I166" s="25" t="str">
        <f t="shared" si="2"/>
        <v>L5</v>
      </c>
      <c r="J166" s="23" t="s">
        <v>78</v>
      </c>
      <c r="K166" s="25" t="s">
        <v>49</v>
      </c>
      <c r="L166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166" s="24">
        <f>IF(DataTable[[#This Row],[3x head (H)/tail (T)?]]=DataTable[[#This Row],[then 4th: H/T/B/0]],1,0)</f>
        <v>0</v>
      </c>
      <c r="N166" s="24">
        <f>IF(DataTable[[#This Row],[then 4th: H/T/B/0]]="B",1,0)</f>
        <v>0</v>
      </c>
      <c r="O166" s="23" t="s">
        <v>228</v>
      </c>
      <c r="P166" s="24">
        <v>14</v>
      </c>
      <c r="Q166" s="26" t="s">
        <v>405</v>
      </c>
      <c r="R166" s="25" t="s">
        <v>53</v>
      </c>
      <c r="S166" s="27" t="s">
        <v>75</v>
      </c>
      <c r="T166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166" s="28" t="s">
        <v>76</v>
      </c>
      <c r="V166" s="29" t="s">
        <v>13</v>
      </c>
      <c r="W166" s="29"/>
      <c r="X166" s="27"/>
      <c r="Y166" s="27">
        <f>IF(DataTable[[#This Row],[explanation1]]="BL",1,IF(DataTable[[#This Row],[explanation2]]="BL",1,IF(DataTable[[#This Row],[explanation1]]="BR",1,IF(DataTable[[#This Row],[explanation2]]="BR",1,0))))</f>
        <v>0</v>
      </c>
      <c r="Z166" s="18">
        <f>IF(DataTable[[#This Row],[explanation1]]="BL",1,IF(DataTable[[#This Row],[explanation2]]="BL",1,0))</f>
        <v>0</v>
      </c>
      <c r="AA166" s="18">
        <f>IF(DataTable[[#This Row],[explanation1]]="WJ",1,IF(DataTable[[#This Row],[explanation2]]="WJ",1,0))</f>
        <v>0</v>
      </c>
      <c r="AB166" s="18">
        <f>IF(DataTable[[#This Row],[explanation1]]="U",1,IF(DataTable[[#This Row],[explanation2]]="U",1,0))</f>
        <v>0</v>
      </c>
      <c r="AC166" s="18">
        <f>IF(DataTable[[#This Row],[explanation1]]="O",1,IF(DataTable[[#This Row],[explanation2]]="O",1,0))</f>
        <v>0</v>
      </c>
      <c r="AD166" s="18">
        <f>IF(DataTable[[#This Row],[explanation1]]="TP",1,IF(DataTable[[#This Row],[explanation2]]="TP",1,0))</f>
        <v>0</v>
      </c>
      <c r="AE166" s="18">
        <f>IF(DataTable[[#This Row],[explanation1]]="WP",1,IF(DataTable[[#This Row],[explanation2]]="WP",1,0))</f>
        <v>0</v>
      </c>
      <c r="AF166" s="18">
        <f>IF(DataTable[[#This Row],[explanation1]]="BR",1,IF(DataTable[[#This Row],[explanation2]]="BR",1,0))</f>
        <v>0</v>
      </c>
      <c r="AG166" s="18">
        <f>IF(DataTable[[#This Row],[explanation1]]="LS",1,IF(DataTable[[#This Row],[explanation2]]="LS",1,0))</f>
        <v>1</v>
      </c>
      <c r="AH166" s="37" t="s">
        <v>13</v>
      </c>
    </row>
    <row r="167" spans="1:34" x14ac:dyDescent="0.2">
      <c r="A167" s="13">
        <v>165</v>
      </c>
      <c r="B167" s="14" t="s">
        <v>68</v>
      </c>
      <c r="C167" s="15" t="s">
        <v>45</v>
      </c>
      <c r="D167" s="16">
        <v>50</v>
      </c>
      <c r="E167" s="14" t="s">
        <v>58</v>
      </c>
      <c r="F167" s="16">
        <v>50</v>
      </c>
      <c r="G167" s="14" t="s">
        <v>68</v>
      </c>
      <c r="H167" s="15" t="s">
        <v>81</v>
      </c>
      <c r="I167" s="16" t="str">
        <f t="shared" si="2"/>
        <v>R</v>
      </c>
      <c r="J167" s="14" t="s">
        <v>78</v>
      </c>
      <c r="K167" s="16" t="s">
        <v>50</v>
      </c>
      <c r="L167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67" s="15">
        <f>IF(DataTable[[#This Row],[3x head (H)/tail (T)?]]=DataTable[[#This Row],[then 4th: H/T/B/0]],1,0)</f>
        <v>0</v>
      </c>
      <c r="N167" s="15">
        <f>IF(DataTable[[#This Row],[then 4th: H/T/B/0]]="B",1,0)</f>
        <v>1</v>
      </c>
      <c r="O167" s="14" t="s">
        <v>228</v>
      </c>
      <c r="P167" s="15">
        <v>14</v>
      </c>
      <c r="Q167" s="17" t="s">
        <v>405</v>
      </c>
      <c r="R167" s="16" t="s">
        <v>53</v>
      </c>
      <c r="S167" s="18" t="s">
        <v>65</v>
      </c>
      <c r="T167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167" s="19" t="s">
        <v>95</v>
      </c>
      <c r="V167" s="20" t="s">
        <v>13</v>
      </c>
      <c r="W167" s="20"/>
      <c r="X167" s="18"/>
      <c r="Y167" s="18">
        <f>IF(DataTable[[#This Row],[explanation1]]="BL",1,IF(DataTable[[#This Row],[explanation2]]="BL",1,IF(DataTable[[#This Row],[explanation1]]="BR",1,IF(DataTable[[#This Row],[explanation2]]="BR",1,0))))</f>
        <v>0</v>
      </c>
      <c r="Z167" s="18">
        <f>IF(DataTable[[#This Row],[explanation1]]="BL",1,IF(DataTable[[#This Row],[explanation2]]="BL",1,0))</f>
        <v>0</v>
      </c>
      <c r="AA167" s="18">
        <f>IF(DataTable[[#This Row],[explanation1]]="WJ",1,IF(DataTable[[#This Row],[explanation2]]="WJ",1,0))</f>
        <v>0</v>
      </c>
      <c r="AB167" s="18">
        <f>IF(DataTable[[#This Row],[explanation1]]="U",1,IF(DataTable[[#This Row],[explanation2]]="U",1,0))</f>
        <v>0</v>
      </c>
      <c r="AC167" s="18">
        <f>IF(DataTable[[#This Row],[explanation1]]="O",1,IF(DataTable[[#This Row],[explanation2]]="O",1,0))</f>
        <v>0</v>
      </c>
      <c r="AD167" s="18">
        <f>IF(DataTable[[#This Row],[explanation1]]="TP",1,IF(DataTable[[#This Row],[explanation2]]="TP",1,0))</f>
        <v>0</v>
      </c>
      <c r="AE167" s="18">
        <f>IF(DataTable[[#This Row],[explanation1]]="WP",1,IF(DataTable[[#This Row],[explanation2]]="WP",1,0))</f>
        <v>0</v>
      </c>
      <c r="AF167" s="18">
        <f>IF(DataTable[[#This Row],[explanation1]]="BR",1,IF(DataTable[[#This Row],[explanation2]]="BR",1,0))</f>
        <v>0</v>
      </c>
      <c r="AG167" s="18">
        <f>IF(DataTable[[#This Row],[explanation1]]="LS",1,IF(DataTable[[#This Row],[explanation2]]="LS",1,0))</f>
        <v>1</v>
      </c>
      <c r="AH167" s="30" t="s">
        <v>251</v>
      </c>
    </row>
    <row r="168" spans="1:34" x14ac:dyDescent="0.2">
      <c r="A168" s="22">
        <v>166</v>
      </c>
      <c r="B168" s="23" t="s">
        <v>68</v>
      </c>
      <c r="C168" s="24" t="s">
        <v>45</v>
      </c>
      <c r="D168" s="25">
        <v>50</v>
      </c>
      <c r="E168" s="23" t="s">
        <v>58</v>
      </c>
      <c r="F168" s="25">
        <v>42</v>
      </c>
      <c r="G168" s="23" t="s">
        <v>47</v>
      </c>
      <c r="H168" s="24" t="s">
        <v>48</v>
      </c>
      <c r="I168" s="25" t="str">
        <f t="shared" si="2"/>
        <v>R</v>
      </c>
      <c r="J168" s="23" t="s">
        <v>78</v>
      </c>
      <c r="K168" s="25" t="s">
        <v>49</v>
      </c>
      <c r="L168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168" s="24">
        <f>IF(DataTable[[#This Row],[3x head (H)/tail (T)?]]=DataTable[[#This Row],[then 4th: H/T/B/0]],1,0)</f>
        <v>0</v>
      </c>
      <c r="N168" s="24">
        <f>IF(DataTable[[#This Row],[then 4th: H/T/B/0]]="B",1,0)</f>
        <v>0</v>
      </c>
      <c r="O168" s="23" t="s">
        <v>228</v>
      </c>
      <c r="P168" s="24">
        <v>14</v>
      </c>
      <c r="Q168" s="26" t="s">
        <v>405</v>
      </c>
      <c r="R168" s="25" t="s">
        <v>53</v>
      </c>
      <c r="S168" s="27" t="s">
        <v>61</v>
      </c>
      <c r="T168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4</v>
      </c>
      <c r="U168" s="28" t="s">
        <v>122</v>
      </c>
      <c r="V168" s="29" t="s">
        <v>9</v>
      </c>
      <c r="W168" s="29"/>
      <c r="X168" s="27"/>
      <c r="Y168" s="27">
        <f>IF(DataTable[[#This Row],[explanation1]]="BL",1,IF(DataTable[[#This Row],[explanation2]]="BL",1,IF(DataTable[[#This Row],[explanation1]]="BR",1,IF(DataTable[[#This Row],[explanation2]]="BR",1,0))))</f>
        <v>0</v>
      </c>
      <c r="Z168" s="18">
        <f>IF(DataTable[[#This Row],[explanation1]]="BL",1,IF(DataTable[[#This Row],[explanation2]]="BL",1,0))</f>
        <v>0</v>
      </c>
      <c r="AA168" s="18">
        <f>IF(DataTable[[#This Row],[explanation1]]="WJ",1,IF(DataTable[[#This Row],[explanation2]]="WJ",1,0))</f>
        <v>0</v>
      </c>
      <c r="AB168" s="18">
        <f>IF(DataTable[[#This Row],[explanation1]]="U",1,IF(DataTable[[#This Row],[explanation2]]="U",1,0))</f>
        <v>0</v>
      </c>
      <c r="AC168" s="18">
        <f>IF(DataTable[[#This Row],[explanation1]]="O",1,IF(DataTable[[#This Row],[explanation2]]="O",1,0))</f>
        <v>1</v>
      </c>
      <c r="AD168" s="18">
        <f>IF(DataTable[[#This Row],[explanation1]]="TP",1,IF(DataTable[[#This Row],[explanation2]]="TP",1,0))</f>
        <v>0</v>
      </c>
      <c r="AE168" s="18">
        <f>IF(DataTable[[#This Row],[explanation1]]="WP",1,IF(DataTable[[#This Row],[explanation2]]="WP",1,0))</f>
        <v>0</v>
      </c>
      <c r="AF168" s="18">
        <f>IF(DataTable[[#This Row],[explanation1]]="BR",1,IF(DataTable[[#This Row],[explanation2]]="BR",1,0))</f>
        <v>0</v>
      </c>
      <c r="AG168" s="18">
        <f>IF(DataTable[[#This Row],[explanation1]]="LS",1,IF(DataTable[[#This Row],[explanation2]]="LS",1,0))</f>
        <v>0</v>
      </c>
      <c r="AH168" s="37" t="s">
        <v>252</v>
      </c>
    </row>
    <row r="169" spans="1:34" x14ac:dyDescent="0.2">
      <c r="A169" s="13">
        <v>167</v>
      </c>
      <c r="B169" s="14" t="s">
        <v>68</v>
      </c>
      <c r="C169" s="15" t="s">
        <v>45</v>
      </c>
      <c r="D169" s="16">
        <v>50</v>
      </c>
      <c r="E169" s="14" t="s">
        <v>58</v>
      </c>
      <c r="F169" s="16">
        <v>77</v>
      </c>
      <c r="G169" s="14" t="s">
        <v>68</v>
      </c>
      <c r="H169" s="15" t="s">
        <v>48</v>
      </c>
      <c r="I169" s="16" t="str">
        <f t="shared" si="2"/>
        <v>H5</v>
      </c>
      <c r="J169" s="14" t="s">
        <v>78</v>
      </c>
      <c r="K169" s="16">
        <v>0</v>
      </c>
      <c r="L169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69" s="15">
        <f>IF(DataTable[[#This Row],[3x head (H)/tail (T)?]]=DataTable[[#This Row],[then 4th: H/T/B/0]],1,0)</f>
        <v>0</v>
      </c>
      <c r="N169" s="15">
        <f>IF(DataTable[[#This Row],[then 4th: H/T/B/0]]="B",1,0)</f>
        <v>0</v>
      </c>
      <c r="O169" s="14" t="s">
        <v>228</v>
      </c>
      <c r="P169" s="15">
        <v>14</v>
      </c>
      <c r="Q169" s="17" t="s">
        <v>405</v>
      </c>
      <c r="R169" s="16" t="s">
        <v>53</v>
      </c>
      <c r="S169" s="18" t="s">
        <v>75</v>
      </c>
      <c r="T169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169" s="19" t="s">
        <v>76</v>
      </c>
      <c r="V169" s="20" t="s">
        <v>13</v>
      </c>
      <c r="W169" s="20"/>
      <c r="X169" s="18"/>
      <c r="Y169" s="18">
        <f>IF(DataTable[[#This Row],[explanation1]]="BL",1,IF(DataTable[[#This Row],[explanation2]]="BL",1,IF(DataTable[[#This Row],[explanation1]]="BR",1,IF(DataTable[[#This Row],[explanation2]]="BR",1,0))))</f>
        <v>0</v>
      </c>
      <c r="Z169" s="18">
        <f>IF(DataTable[[#This Row],[explanation1]]="BL",1,IF(DataTable[[#This Row],[explanation2]]="BL",1,0))</f>
        <v>0</v>
      </c>
      <c r="AA169" s="18">
        <f>IF(DataTable[[#This Row],[explanation1]]="WJ",1,IF(DataTable[[#This Row],[explanation2]]="WJ",1,0))</f>
        <v>0</v>
      </c>
      <c r="AB169" s="18">
        <f>IF(DataTable[[#This Row],[explanation1]]="U",1,IF(DataTable[[#This Row],[explanation2]]="U",1,0))</f>
        <v>0</v>
      </c>
      <c r="AC169" s="18">
        <f>IF(DataTable[[#This Row],[explanation1]]="O",1,IF(DataTable[[#This Row],[explanation2]]="O",1,0))</f>
        <v>0</v>
      </c>
      <c r="AD169" s="18">
        <f>IF(DataTable[[#This Row],[explanation1]]="TP",1,IF(DataTable[[#This Row],[explanation2]]="TP",1,0))</f>
        <v>0</v>
      </c>
      <c r="AE169" s="18">
        <f>IF(DataTable[[#This Row],[explanation1]]="WP",1,IF(DataTable[[#This Row],[explanation2]]="WP",1,0))</f>
        <v>0</v>
      </c>
      <c r="AF169" s="18">
        <f>IF(DataTable[[#This Row],[explanation1]]="BR",1,IF(DataTable[[#This Row],[explanation2]]="BR",1,0))</f>
        <v>0</v>
      </c>
      <c r="AG169" s="18">
        <f>IF(DataTable[[#This Row],[explanation1]]="LS",1,IF(DataTable[[#This Row],[explanation2]]="LS",1,0))</f>
        <v>1</v>
      </c>
      <c r="AH169" s="30" t="s">
        <v>253</v>
      </c>
    </row>
    <row r="170" spans="1:34" x14ac:dyDescent="0.2">
      <c r="A170" s="22">
        <v>168</v>
      </c>
      <c r="B170" s="23" t="s">
        <v>57</v>
      </c>
      <c r="C170" s="24" t="s">
        <v>74</v>
      </c>
      <c r="D170" s="25">
        <v>1</v>
      </c>
      <c r="E170" s="23" t="s">
        <v>46</v>
      </c>
      <c r="F170" s="25">
        <v>21</v>
      </c>
      <c r="G170" s="23" t="s">
        <v>47</v>
      </c>
      <c r="H170" s="24" t="s">
        <v>48</v>
      </c>
      <c r="I170" s="25" t="str">
        <f t="shared" si="2"/>
        <v>R</v>
      </c>
      <c r="J170" s="23" t="s">
        <v>78</v>
      </c>
      <c r="K170" s="25" t="s">
        <v>50</v>
      </c>
      <c r="L170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70" s="24">
        <f>IF(DataTable[[#This Row],[3x head (H)/tail (T)?]]=DataTable[[#This Row],[then 4th: H/T/B/0]],1,0)</f>
        <v>0</v>
      </c>
      <c r="N170" s="24">
        <f>IF(DataTable[[#This Row],[then 4th: H/T/B/0]]="B",1,0)</f>
        <v>1</v>
      </c>
      <c r="O170" s="23" t="s">
        <v>228</v>
      </c>
      <c r="P170" s="24">
        <v>21</v>
      </c>
      <c r="Q170" s="26" t="s">
        <v>409</v>
      </c>
      <c r="R170" s="25" t="s">
        <v>53</v>
      </c>
      <c r="S170" s="27" t="s">
        <v>103</v>
      </c>
      <c r="T170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5</v>
      </c>
      <c r="U170" s="28" t="s">
        <v>247</v>
      </c>
      <c r="V170" s="29" t="s">
        <v>6</v>
      </c>
      <c r="W170" s="29"/>
      <c r="X170" s="27"/>
      <c r="Y170" s="27">
        <f>IF(DataTable[[#This Row],[explanation1]]="BL",1,IF(DataTable[[#This Row],[explanation2]]="BL",1,IF(DataTable[[#This Row],[explanation1]]="BR",1,IF(DataTable[[#This Row],[explanation2]]="BR",1,0))))</f>
        <v>1</v>
      </c>
      <c r="Z170" s="18">
        <f>IF(DataTable[[#This Row],[explanation1]]="BL",1,IF(DataTable[[#This Row],[explanation2]]="BL",1,0))</f>
        <v>1</v>
      </c>
      <c r="AA170" s="18">
        <f>IF(DataTable[[#This Row],[explanation1]]="WJ",1,IF(DataTable[[#This Row],[explanation2]]="WJ",1,0))</f>
        <v>0</v>
      </c>
      <c r="AB170" s="18">
        <f>IF(DataTable[[#This Row],[explanation1]]="U",1,IF(DataTable[[#This Row],[explanation2]]="U",1,0))</f>
        <v>0</v>
      </c>
      <c r="AC170" s="18">
        <f>IF(DataTable[[#This Row],[explanation1]]="O",1,IF(DataTable[[#This Row],[explanation2]]="O",1,0))</f>
        <v>0</v>
      </c>
      <c r="AD170" s="18">
        <f>IF(DataTable[[#This Row],[explanation1]]="TP",1,IF(DataTable[[#This Row],[explanation2]]="TP",1,0))</f>
        <v>0</v>
      </c>
      <c r="AE170" s="18">
        <f>IF(DataTable[[#This Row],[explanation1]]="WP",1,IF(DataTable[[#This Row],[explanation2]]="WP",1,0))</f>
        <v>0</v>
      </c>
      <c r="AF170" s="18">
        <f>IF(DataTable[[#This Row],[explanation1]]="BR",1,IF(DataTable[[#This Row],[explanation2]]="BR",1,0))</f>
        <v>0</v>
      </c>
      <c r="AG170" s="18">
        <f>IF(DataTable[[#This Row],[explanation1]]="LS",1,IF(DataTable[[#This Row],[explanation2]]="LS",1,0))</f>
        <v>0</v>
      </c>
      <c r="AH170" s="37" t="s">
        <v>6</v>
      </c>
    </row>
    <row r="171" spans="1:34" x14ac:dyDescent="0.2">
      <c r="A171" s="13">
        <v>169</v>
      </c>
      <c r="B171" s="14" t="s">
        <v>57</v>
      </c>
      <c r="C171" s="15" t="s">
        <v>74</v>
      </c>
      <c r="D171" s="16">
        <v>1</v>
      </c>
      <c r="E171" s="14" t="s">
        <v>46</v>
      </c>
      <c r="F171" s="16">
        <v>20</v>
      </c>
      <c r="G171" s="14" t="s">
        <v>47</v>
      </c>
      <c r="H171" s="15" t="s">
        <v>48</v>
      </c>
      <c r="I171" s="16" t="str">
        <f t="shared" si="2"/>
        <v>R</v>
      </c>
      <c r="J171" s="14" t="s">
        <v>49</v>
      </c>
      <c r="K171" s="16" t="s">
        <v>78</v>
      </c>
      <c r="L171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171" s="15">
        <f>IF(DataTable[[#This Row],[3x head (H)/tail (T)?]]=DataTable[[#This Row],[then 4th: H/T/B/0]],1,0)</f>
        <v>0</v>
      </c>
      <c r="N171" s="15">
        <f>IF(DataTable[[#This Row],[then 4th: H/T/B/0]]="B",1,0)</f>
        <v>0</v>
      </c>
      <c r="O171" s="14" t="s">
        <v>228</v>
      </c>
      <c r="P171" s="15">
        <v>21</v>
      </c>
      <c r="Q171" s="17" t="s">
        <v>409</v>
      </c>
      <c r="R171" s="16" t="s">
        <v>53</v>
      </c>
      <c r="S171" s="18" t="s">
        <v>65</v>
      </c>
      <c r="T171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171" s="19" t="s">
        <v>95</v>
      </c>
      <c r="V171" s="20" t="s">
        <v>6</v>
      </c>
      <c r="W171" s="20"/>
      <c r="X171" s="18"/>
      <c r="Y171" s="18">
        <f>IF(DataTable[[#This Row],[explanation1]]="BL",1,IF(DataTable[[#This Row],[explanation2]]="BL",1,IF(DataTable[[#This Row],[explanation1]]="BR",1,IF(DataTable[[#This Row],[explanation2]]="BR",1,0))))</f>
        <v>1</v>
      </c>
      <c r="Z171" s="18">
        <f>IF(DataTable[[#This Row],[explanation1]]="BL",1,IF(DataTable[[#This Row],[explanation2]]="BL",1,0))</f>
        <v>1</v>
      </c>
      <c r="AA171" s="18">
        <f>IF(DataTable[[#This Row],[explanation1]]="WJ",1,IF(DataTable[[#This Row],[explanation2]]="WJ",1,0))</f>
        <v>0</v>
      </c>
      <c r="AB171" s="18">
        <f>IF(DataTable[[#This Row],[explanation1]]="U",1,IF(DataTable[[#This Row],[explanation2]]="U",1,0))</f>
        <v>0</v>
      </c>
      <c r="AC171" s="18">
        <f>IF(DataTable[[#This Row],[explanation1]]="O",1,IF(DataTable[[#This Row],[explanation2]]="O",1,0))</f>
        <v>0</v>
      </c>
      <c r="AD171" s="18">
        <f>IF(DataTable[[#This Row],[explanation1]]="TP",1,IF(DataTable[[#This Row],[explanation2]]="TP",1,0))</f>
        <v>0</v>
      </c>
      <c r="AE171" s="18">
        <f>IF(DataTable[[#This Row],[explanation1]]="WP",1,IF(DataTable[[#This Row],[explanation2]]="WP",1,0))</f>
        <v>0</v>
      </c>
      <c r="AF171" s="18">
        <f>IF(DataTable[[#This Row],[explanation1]]="BR",1,IF(DataTable[[#This Row],[explanation2]]="BR",1,0))</f>
        <v>0</v>
      </c>
      <c r="AG171" s="18">
        <f>IF(DataTable[[#This Row],[explanation1]]="LS",1,IF(DataTable[[#This Row],[explanation2]]="LS",1,0))</f>
        <v>0</v>
      </c>
      <c r="AH171" s="30" t="s">
        <v>6</v>
      </c>
    </row>
    <row r="172" spans="1:34" x14ac:dyDescent="0.2">
      <c r="A172" s="22">
        <v>170</v>
      </c>
      <c r="B172" s="23" t="s">
        <v>57</v>
      </c>
      <c r="C172" s="24" t="s">
        <v>74</v>
      </c>
      <c r="D172" s="25">
        <v>50</v>
      </c>
      <c r="E172" s="23" t="s">
        <v>46</v>
      </c>
      <c r="F172" s="25">
        <v>20</v>
      </c>
      <c r="G172" s="23" t="s">
        <v>47</v>
      </c>
      <c r="H172" s="24" t="s">
        <v>48</v>
      </c>
      <c r="I172" s="25" t="str">
        <f t="shared" si="2"/>
        <v>R</v>
      </c>
      <c r="J172" s="23" t="s">
        <v>78</v>
      </c>
      <c r="K172" s="25" t="s">
        <v>50</v>
      </c>
      <c r="L172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72" s="24">
        <f>IF(DataTable[[#This Row],[3x head (H)/tail (T)?]]=DataTable[[#This Row],[then 4th: H/T/B/0]],1,0)</f>
        <v>0</v>
      </c>
      <c r="N172" s="24">
        <f>IF(DataTable[[#This Row],[then 4th: H/T/B/0]]="B",1,0)</f>
        <v>1</v>
      </c>
      <c r="O172" s="23" t="s">
        <v>228</v>
      </c>
      <c r="P172" s="24">
        <v>21</v>
      </c>
      <c r="Q172" s="26" t="s">
        <v>409</v>
      </c>
      <c r="R172" s="25" t="s">
        <v>53</v>
      </c>
      <c r="S172" s="27" t="s">
        <v>75</v>
      </c>
      <c r="T172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172" s="28" t="s">
        <v>76</v>
      </c>
      <c r="V172" s="29" t="s">
        <v>6</v>
      </c>
      <c r="W172" s="29" t="s">
        <v>10</v>
      </c>
      <c r="X172" s="27"/>
      <c r="Y172" s="27">
        <f>IF(DataTable[[#This Row],[explanation1]]="BL",1,IF(DataTable[[#This Row],[explanation2]]="BL",1,IF(DataTable[[#This Row],[explanation1]]="BR",1,IF(DataTable[[#This Row],[explanation2]]="BR",1,0))))</f>
        <v>1</v>
      </c>
      <c r="Z172" s="18">
        <f>IF(DataTable[[#This Row],[explanation1]]="BL",1,IF(DataTable[[#This Row],[explanation2]]="BL",1,0))</f>
        <v>1</v>
      </c>
      <c r="AA172" s="18">
        <f>IF(DataTable[[#This Row],[explanation1]]="WJ",1,IF(DataTable[[#This Row],[explanation2]]="WJ",1,0))</f>
        <v>0</v>
      </c>
      <c r="AB172" s="18">
        <f>IF(DataTable[[#This Row],[explanation1]]="U",1,IF(DataTable[[#This Row],[explanation2]]="U",1,0))</f>
        <v>0</v>
      </c>
      <c r="AC172" s="18">
        <f>IF(DataTable[[#This Row],[explanation1]]="O",1,IF(DataTable[[#This Row],[explanation2]]="O",1,0))</f>
        <v>0</v>
      </c>
      <c r="AD172" s="18">
        <f>IF(DataTable[[#This Row],[explanation1]]="TP",1,IF(DataTable[[#This Row],[explanation2]]="TP",1,0))</f>
        <v>1</v>
      </c>
      <c r="AE172" s="18">
        <f>IF(DataTable[[#This Row],[explanation1]]="WP",1,IF(DataTable[[#This Row],[explanation2]]="WP",1,0))</f>
        <v>0</v>
      </c>
      <c r="AF172" s="18">
        <f>IF(DataTable[[#This Row],[explanation1]]="BR",1,IF(DataTable[[#This Row],[explanation2]]="BR",1,0))</f>
        <v>0</v>
      </c>
      <c r="AG172" s="18">
        <f>IF(DataTable[[#This Row],[explanation1]]="LS",1,IF(DataTable[[#This Row],[explanation2]]="LS",1,0))</f>
        <v>0</v>
      </c>
      <c r="AH172" s="37" t="s">
        <v>254</v>
      </c>
    </row>
    <row r="173" spans="1:34" x14ac:dyDescent="0.2">
      <c r="A173" s="13">
        <v>171</v>
      </c>
      <c r="B173" s="14" t="s">
        <v>57</v>
      </c>
      <c r="C173" s="15" t="s">
        <v>74</v>
      </c>
      <c r="D173" s="16">
        <v>50</v>
      </c>
      <c r="E173" s="14" t="s">
        <v>46</v>
      </c>
      <c r="F173" s="16">
        <v>25</v>
      </c>
      <c r="G173" s="14" t="s">
        <v>57</v>
      </c>
      <c r="H173" s="15" t="s">
        <v>48</v>
      </c>
      <c r="I173" s="16" t="str">
        <f t="shared" si="2"/>
        <v>H1</v>
      </c>
      <c r="J173" s="14" t="s">
        <v>49</v>
      </c>
      <c r="K173" s="16" t="s">
        <v>49</v>
      </c>
      <c r="L173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73" s="15">
        <f>IF(DataTable[[#This Row],[3x head (H)/tail (T)?]]=DataTable[[#This Row],[then 4th: H/T/B/0]],1,0)</f>
        <v>1</v>
      </c>
      <c r="N173" s="15">
        <f>IF(DataTable[[#This Row],[then 4th: H/T/B/0]]="B",1,0)</f>
        <v>0</v>
      </c>
      <c r="O173" s="14" t="s">
        <v>228</v>
      </c>
      <c r="P173" s="15">
        <v>21</v>
      </c>
      <c r="Q173" s="17" t="s">
        <v>409</v>
      </c>
      <c r="R173" s="16" t="s">
        <v>53</v>
      </c>
      <c r="S173" s="18" t="s">
        <v>103</v>
      </c>
      <c r="T173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5</v>
      </c>
      <c r="U173" s="19" t="s">
        <v>248</v>
      </c>
      <c r="V173" s="20" t="s">
        <v>208</v>
      </c>
      <c r="W173" s="20"/>
      <c r="X173" s="18"/>
      <c r="Y173" s="18">
        <f>IF(DataTable[[#This Row],[explanation1]]="BL",1,IF(DataTable[[#This Row],[explanation2]]="BL",1,IF(DataTable[[#This Row],[explanation1]]="BR",1,IF(DataTable[[#This Row],[explanation2]]="BR",1,0))))</f>
        <v>0</v>
      </c>
      <c r="Z173" s="18">
        <f>IF(DataTable[[#This Row],[explanation1]]="BL",1,IF(DataTable[[#This Row],[explanation2]]="BL",1,0))</f>
        <v>0</v>
      </c>
      <c r="AA173" s="18">
        <f>IF(DataTable[[#This Row],[explanation1]]="WJ",1,IF(DataTable[[#This Row],[explanation2]]="WJ",1,0))</f>
        <v>0</v>
      </c>
      <c r="AB173" s="18">
        <f>IF(DataTable[[#This Row],[explanation1]]="U",1,IF(DataTable[[#This Row],[explanation2]]="U",1,0))</f>
        <v>0</v>
      </c>
      <c r="AC173" s="18">
        <f>IF(DataTable[[#This Row],[explanation1]]="O",1,IF(DataTable[[#This Row],[explanation2]]="O",1,0))</f>
        <v>0</v>
      </c>
      <c r="AD173" s="18">
        <f>IF(DataTable[[#This Row],[explanation1]]="TP",1,IF(DataTable[[#This Row],[explanation2]]="TP",1,0))</f>
        <v>0</v>
      </c>
      <c r="AE173" s="18">
        <f>IF(DataTable[[#This Row],[explanation1]]="WP",1,IF(DataTable[[#This Row],[explanation2]]="WP",1,0))</f>
        <v>0</v>
      </c>
      <c r="AF173" s="18">
        <f>IF(DataTable[[#This Row],[explanation1]]="BR",1,IF(DataTable[[#This Row],[explanation2]]="BR",1,0))</f>
        <v>0</v>
      </c>
      <c r="AG173" s="18">
        <f>IF(DataTable[[#This Row],[explanation1]]="LS",1,IF(DataTable[[#This Row],[explanation2]]="LS",1,0))</f>
        <v>0</v>
      </c>
      <c r="AH173" s="30" t="s">
        <v>255</v>
      </c>
    </row>
    <row r="174" spans="1:34" x14ac:dyDescent="0.2">
      <c r="A174" s="22">
        <v>172</v>
      </c>
      <c r="B174" s="23" t="s">
        <v>57</v>
      </c>
      <c r="C174" s="24" t="s">
        <v>45</v>
      </c>
      <c r="D174" s="25">
        <v>50</v>
      </c>
      <c r="E174" s="23" t="s">
        <v>46</v>
      </c>
      <c r="F174" s="25">
        <v>18</v>
      </c>
      <c r="G174" s="23" t="s">
        <v>57</v>
      </c>
      <c r="H174" s="24" t="s">
        <v>48</v>
      </c>
      <c r="I174" s="25" t="str">
        <f t="shared" si="2"/>
        <v>H1</v>
      </c>
      <c r="J174" s="23" t="s">
        <v>78</v>
      </c>
      <c r="K174" s="25" t="s">
        <v>50</v>
      </c>
      <c r="L174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74" s="24">
        <f>IF(DataTable[[#This Row],[3x head (H)/tail (T)?]]=DataTable[[#This Row],[then 4th: H/T/B/0]],1,0)</f>
        <v>0</v>
      </c>
      <c r="N174" s="24">
        <f>IF(DataTable[[#This Row],[then 4th: H/T/B/0]]="B",1,0)</f>
        <v>1</v>
      </c>
      <c r="O174" s="23" t="s">
        <v>228</v>
      </c>
      <c r="P174" s="24">
        <v>21</v>
      </c>
      <c r="Q174" s="26" t="s">
        <v>409</v>
      </c>
      <c r="R174" s="25" t="s">
        <v>53</v>
      </c>
      <c r="S174" s="27" t="s">
        <v>75</v>
      </c>
      <c r="T174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174" s="28" t="s">
        <v>76</v>
      </c>
      <c r="V174" s="29" t="s">
        <v>13</v>
      </c>
      <c r="W174" s="29" t="s">
        <v>8</v>
      </c>
      <c r="X174" s="27" t="s">
        <v>204</v>
      </c>
      <c r="Y174" s="27">
        <f>IF(DataTable[[#This Row],[explanation1]]="BL",1,IF(DataTable[[#This Row],[explanation2]]="BL",1,IF(DataTable[[#This Row],[explanation1]]="BR",1,IF(DataTable[[#This Row],[explanation2]]="BR",1,0))))</f>
        <v>0</v>
      </c>
      <c r="Z174" s="18">
        <f>IF(DataTable[[#This Row],[explanation1]]="BL",1,IF(DataTable[[#This Row],[explanation2]]="BL",1,0))</f>
        <v>0</v>
      </c>
      <c r="AA174" s="18">
        <f>IF(DataTable[[#This Row],[explanation1]]="WJ",1,IF(DataTable[[#This Row],[explanation2]]="WJ",1,0))</f>
        <v>0</v>
      </c>
      <c r="AB174" s="18">
        <f>IF(DataTable[[#This Row],[explanation1]]="U",1,IF(DataTable[[#This Row],[explanation2]]="U",1,0))</f>
        <v>1</v>
      </c>
      <c r="AC174" s="18">
        <f>IF(DataTable[[#This Row],[explanation1]]="O",1,IF(DataTable[[#This Row],[explanation2]]="O",1,0))</f>
        <v>0</v>
      </c>
      <c r="AD174" s="18">
        <f>IF(DataTable[[#This Row],[explanation1]]="TP",1,IF(DataTable[[#This Row],[explanation2]]="TP",1,0))</f>
        <v>0</v>
      </c>
      <c r="AE174" s="18">
        <f>IF(DataTable[[#This Row],[explanation1]]="WP",1,IF(DataTable[[#This Row],[explanation2]]="WP",1,0))</f>
        <v>0</v>
      </c>
      <c r="AF174" s="18">
        <f>IF(DataTable[[#This Row],[explanation1]]="BR",1,IF(DataTable[[#This Row],[explanation2]]="BR",1,0))</f>
        <v>0</v>
      </c>
      <c r="AG174" s="18">
        <f>IF(DataTable[[#This Row],[explanation1]]="LS",1,IF(DataTable[[#This Row],[explanation2]]="LS",1,0))</f>
        <v>1</v>
      </c>
      <c r="AH174" s="37" t="s">
        <v>256</v>
      </c>
    </row>
    <row r="175" spans="1:34" x14ac:dyDescent="0.2">
      <c r="A175" s="13">
        <v>173</v>
      </c>
      <c r="B175" s="14" t="s">
        <v>70</v>
      </c>
      <c r="C175" s="15" t="s">
        <v>74</v>
      </c>
      <c r="D175" s="16">
        <v>1</v>
      </c>
      <c r="E175" s="14" t="s">
        <v>46</v>
      </c>
      <c r="F175" s="16">
        <v>48</v>
      </c>
      <c r="G175" s="14" t="s">
        <v>47</v>
      </c>
      <c r="H175" s="15" t="s">
        <v>48</v>
      </c>
      <c r="I175" s="16" t="str">
        <f t="shared" si="2"/>
        <v>R</v>
      </c>
      <c r="J175" s="14" t="s">
        <v>78</v>
      </c>
      <c r="K175" s="16" t="s">
        <v>49</v>
      </c>
      <c r="L175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175" s="15">
        <f>IF(DataTable[[#This Row],[3x head (H)/tail (T)?]]=DataTable[[#This Row],[then 4th: H/T/B/0]],1,0)</f>
        <v>0</v>
      </c>
      <c r="N175" s="15">
        <f>IF(DataTable[[#This Row],[then 4th: H/T/B/0]]="B",1,0)</f>
        <v>0</v>
      </c>
      <c r="O175" s="14" t="s">
        <v>228</v>
      </c>
      <c r="P175" s="15">
        <v>21</v>
      </c>
      <c r="Q175" s="17" t="s">
        <v>409</v>
      </c>
      <c r="R175" s="16" t="s">
        <v>53</v>
      </c>
      <c r="S175" s="18" t="s">
        <v>75</v>
      </c>
      <c r="T175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175" s="19" t="s">
        <v>76</v>
      </c>
      <c r="V175" s="20" t="s">
        <v>9</v>
      </c>
      <c r="W175" s="20"/>
      <c r="X175" s="18"/>
      <c r="Y175" s="18">
        <f>IF(DataTable[[#This Row],[explanation1]]="BL",1,IF(DataTable[[#This Row],[explanation2]]="BL",1,IF(DataTable[[#This Row],[explanation1]]="BR",1,IF(DataTable[[#This Row],[explanation2]]="BR",1,0))))</f>
        <v>0</v>
      </c>
      <c r="Z175" s="18">
        <f>IF(DataTable[[#This Row],[explanation1]]="BL",1,IF(DataTable[[#This Row],[explanation2]]="BL",1,0))</f>
        <v>0</v>
      </c>
      <c r="AA175" s="18">
        <f>IF(DataTable[[#This Row],[explanation1]]="WJ",1,IF(DataTable[[#This Row],[explanation2]]="WJ",1,0))</f>
        <v>0</v>
      </c>
      <c r="AB175" s="18">
        <f>IF(DataTable[[#This Row],[explanation1]]="U",1,IF(DataTable[[#This Row],[explanation2]]="U",1,0))</f>
        <v>0</v>
      </c>
      <c r="AC175" s="18">
        <f>IF(DataTable[[#This Row],[explanation1]]="O",1,IF(DataTable[[#This Row],[explanation2]]="O",1,0))</f>
        <v>1</v>
      </c>
      <c r="AD175" s="18">
        <f>IF(DataTable[[#This Row],[explanation1]]="TP",1,IF(DataTable[[#This Row],[explanation2]]="TP",1,0))</f>
        <v>0</v>
      </c>
      <c r="AE175" s="18">
        <f>IF(DataTable[[#This Row],[explanation1]]="WP",1,IF(DataTable[[#This Row],[explanation2]]="WP",1,0))</f>
        <v>0</v>
      </c>
      <c r="AF175" s="18">
        <f>IF(DataTable[[#This Row],[explanation1]]="BR",1,IF(DataTable[[#This Row],[explanation2]]="BR",1,0))</f>
        <v>0</v>
      </c>
      <c r="AG175" s="18">
        <f>IF(DataTable[[#This Row],[explanation1]]="LS",1,IF(DataTable[[#This Row],[explanation2]]="LS",1,0))</f>
        <v>0</v>
      </c>
      <c r="AH175" s="30" t="s">
        <v>257</v>
      </c>
    </row>
    <row r="176" spans="1:34" x14ac:dyDescent="0.2">
      <c r="A176" s="22">
        <v>174</v>
      </c>
      <c r="B176" s="23" t="s">
        <v>70</v>
      </c>
      <c r="C176" s="24" t="s">
        <v>74</v>
      </c>
      <c r="D176" s="25">
        <v>50</v>
      </c>
      <c r="E176" s="23" t="s">
        <v>58</v>
      </c>
      <c r="F176" s="25">
        <v>65</v>
      </c>
      <c r="G176" s="23" t="s">
        <v>47</v>
      </c>
      <c r="H176" s="24" t="s">
        <v>48</v>
      </c>
      <c r="I176" s="25" t="str">
        <f t="shared" si="2"/>
        <v>R</v>
      </c>
      <c r="J176" s="23" t="s">
        <v>78</v>
      </c>
      <c r="K176" s="25" t="s">
        <v>78</v>
      </c>
      <c r="L176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76" s="24">
        <f>IF(DataTable[[#This Row],[3x head (H)/tail (T)?]]=DataTable[[#This Row],[then 4th: H/T/B/0]],1,0)</f>
        <v>1</v>
      </c>
      <c r="N176" s="24">
        <f>IF(DataTable[[#This Row],[then 4th: H/T/B/0]]="B",1,0)</f>
        <v>0</v>
      </c>
      <c r="O176" s="23" t="s">
        <v>228</v>
      </c>
      <c r="P176" s="24">
        <v>21</v>
      </c>
      <c r="Q176" s="26" t="s">
        <v>409</v>
      </c>
      <c r="R176" s="25" t="s">
        <v>53</v>
      </c>
      <c r="S176" s="27" t="s">
        <v>65</v>
      </c>
      <c r="T176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176" s="28" t="s">
        <v>95</v>
      </c>
      <c r="V176" s="29" t="s">
        <v>9</v>
      </c>
      <c r="W176" s="29" t="s">
        <v>8</v>
      </c>
      <c r="X176" s="27" t="s">
        <v>258</v>
      </c>
      <c r="Y176" s="27">
        <f>IF(DataTable[[#This Row],[explanation1]]="BL",1,IF(DataTable[[#This Row],[explanation2]]="BL",1,IF(DataTable[[#This Row],[explanation1]]="BR",1,IF(DataTable[[#This Row],[explanation2]]="BR",1,0))))</f>
        <v>0</v>
      </c>
      <c r="Z176" s="18">
        <f>IF(DataTable[[#This Row],[explanation1]]="BL",1,IF(DataTable[[#This Row],[explanation2]]="BL",1,0))</f>
        <v>0</v>
      </c>
      <c r="AA176" s="18">
        <f>IF(DataTable[[#This Row],[explanation1]]="WJ",1,IF(DataTable[[#This Row],[explanation2]]="WJ",1,0))</f>
        <v>0</v>
      </c>
      <c r="AB176" s="18">
        <f>IF(DataTable[[#This Row],[explanation1]]="U",1,IF(DataTable[[#This Row],[explanation2]]="U",1,0))</f>
        <v>1</v>
      </c>
      <c r="AC176" s="18">
        <f>IF(DataTable[[#This Row],[explanation1]]="O",1,IF(DataTable[[#This Row],[explanation2]]="O",1,0))</f>
        <v>1</v>
      </c>
      <c r="AD176" s="18">
        <f>IF(DataTable[[#This Row],[explanation1]]="TP",1,IF(DataTable[[#This Row],[explanation2]]="TP",1,0))</f>
        <v>0</v>
      </c>
      <c r="AE176" s="18">
        <f>IF(DataTable[[#This Row],[explanation1]]="WP",1,IF(DataTable[[#This Row],[explanation2]]="WP",1,0))</f>
        <v>0</v>
      </c>
      <c r="AF176" s="18">
        <f>IF(DataTable[[#This Row],[explanation1]]="BR",1,IF(DataTable[[#This Row],[explanation2]]="BR",1,0))</f>
        <v>0</v>
      </c>
      <c r="AG176" s="18">
        <f>IF(DataTable[[#This Row],[explanation1]]="LS",1,IF(DataTable[[#This Row],[explanation2]]="LS",1,0))</f>
        <v>0</v>
      </c>
      <c r="AH176" s="37" t="s">
        <v>259</v>
      </c>
    </row>
    <row r="177" spans="1:34" x14ac:dyDescent="0.2">
      <c r="A177" s="13">
        <v>175</v>
      </c>
      <c r="B177" s="14" t="s">
        <v>70</v>
      </c>
      <c r="C177" s="15" t="s">
        <v>74</v>
      </c>
      <c r="D177" s="16">
        <v>50</v>
      </c>
      <c r="E177" s="14" t="s">
        <v>58</v>
      </c>
      <c r="F177" s="16">
        <v>24</v>
      </c>
      <c r="G177" s="14" t="s">
        <v>70</v>
      </c>
      <c r="H177" s="15" t="s">
        <v>48</v>
      </c>
      <c r="I177" s="16" t="str">
        <f t="shared" si="2"/>
        <v>M5</v>
      </c>
      <c r="J177" s="14" t="s">
        <v>49</v>
      </c>
      <c r="K177" s="16" t="s">
        <v>78</v>
      </c>
      <c r="L177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177" s="15">
        <f>IF(DataTable[[#This Row],[3x head (H)/tail (T)?]]=DataTable[[#This Row],[then 4th: H/T/B/0]],1,0)</f>
        <v>0</v>
      </c>
      <c r="N177" s="15">
        <f>IF(DataTable[[#This Row],[then 4th: H/T/B/0]]="B",1,0)</f>
        <v>0</v>
      </c>
      <c r="O177" s="14" t="s">
        <v>228</v>
      </c>
      <c r="P177" s="15">
        <v>21</v>
      </c>
      <c r="Q177" s="17" t="s">
        <v>409</v>
      </c>
      <c r="R177" s="16" t="s">
        <v>53</v>
      </c>
      <c r="S177" s="18" t="s">
        <v>54</v>
      </c>
      <c r="T177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177" s="19" t="s">
        <v>116</v>
      </c>
      <c r="V177" s="20" t="s">
        <v>13</v>
      </c>
      <c r="W177" s="20" t="s">
        <v>12</v>
      </c>
      <c r="X177" s="18"/>
      <c r="Y177" s="18">
        <f>IF(DataTable[[#This Row],[explanation1]]="BL",1,IF(DataTable[[#This Row],[explanation2]]="BL",1,IF(DataTable[[#This Row],[explanation1]]="BR",1,IF(DataTable[[#This Row],[explanation2]]="BR",1,0))))</f>
        <v>1</v>
      </c>
      <c r="Z177" s="18">
        <f>IF(DataTable[[#This Row],[explanation1]]="BL",1,IF(DataTable[[#This Row],[explanation2]]="BL",1,0))</f>
        <v>0</v>
      </c>
      <c r="AA177" s="18">
        <f>IF(DataTable[[#This Row],[explanation1]]="WJ",1,IF(DataTable[[#This Row],[explanation2]]="WJ",1,0))</f>
        <v>0</v>
      </c>
      <c r="AB177" s="18">
        <f>IF(DataTable[[#This Row],[explanation1]]="U",1,IF(DataTable[[#This Row],[explanation2]]="U",1,0))</f>
        <v>0</v>
      </c>
      <c r="AC177" s="18">
        <f>IF(DataTable[[#This Row],[explanation1]]="O",1,IF(DataTable[[#This Row],[explanation2]]="O",1,0))</f>
        <v>0</v>
      </c>
      <c r="AD177" s="18">
        <f>IF(DataTable[[#This Row],[explanation1]]="TP",1,IF(DataTable[[#This Row],[explanation2]]="TP",1,0))</f>
        <v>0</v>
      </c>
      <c r="AE177" s="18">
        <f>IF(DataTable[[#This Row],[explanation1]]="WP",1,IF(DataTable[[#This Row],[explanation2]]="WP",1,0))</f>
        <v>0</v>
      </c>
      <c r="AF177" s="18">
        <f>IF(DataTable[[#This Row],[explanation1]]="BR",1,IF(DataTable[[#This Row],[explanation2]]="BR",1,0))</f>
        <v>1</v>
      </c>
      <c r="AG177" s="18">
        <f>IF(DataTable[[#This Row],[explanation1]]="LS",1,IF(DataTable[[#This Row],[explanation2]]="LS",1,0))</f>
        <v>1</v>
      </c>
      <c r="AH177" s="30" t="s">
        <v>260</v>
      </c>
    </row>
    <row r="178" spans="1:34" x14ac:dyDescent="0.2">
      <c r="A178" s="22">
        <v>176</v>
      </c>
      <c r="B178" s="23" t="s">
        <v>70</v>
      </c>
      <c r="C178" s="24" t="s">
        <v>45</v>
      </c>
      <c r="D178" s="25">
        <v>50</v>
      </c>
      <c r="E178" s="23" t="s">
        <v>46</v>
      </c>
      <c r="F178" s="25">
        <v>21</v>
      </c>
      <c r="G178" s="23" t="s">
        <v>70</v>
      </c>
      <c r="H178" s="24" t="s">
        <v>48</v>
      </c>
      <c r="I178" s="25" t="str">
        <f t="shared" si="2"/>
        <v>M5</v>
      </c>
      <c r="J178" s="23" t="s">
        <v>78</v>
      </c>
      <c r="K178" s="25" t="s">
        <v>50</v>
      </c>
      <c r="L178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78" s="24">
        <f>IF(DataTable[[#This Row],[3x head (H)/tail (T)?]]=DataTable[[#This Row],[then 4th: H/T/B/0]],1,0)</f>
        <v>0</v>
      </c>
      <c r="N178" s="24">
        <f>IF(DataTable[[#This Row],[then 4th: H/T/B/0]]="B",1,0)</f>
        <v>1</v>
      </c>
      <c r="O178" s="23" t="s">
        <v>228</v>
      </c>
      <c r="P178" s="24">
        <v>21</v>
      </c>
      <c r="Q178" s="26" t="s">
        <v>409</v>
      </c>
      <c r="R178" s="25" t="s">
        <v>53</v>
      </c>
      <c r="S178" s="27" t="s">
        <v>75</v>
      </c>
      <c r="T178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178" s="28" t="s">
        <v>76</v>
      </c>
      <c r="V178" s="29" t="s">
        <v>13</v>
      </c>
      <c r="W178" s="29"/>
      <c r="X178" s="27"/>
      <c r="Y178" s="27">
        <f>IF(DataTable[[#This Row],[explanation1]]="BL",1,IF(DataTable[[#This Row],[explanation2]]="BL",1,IF(DataTable[[#This Row],[explanation1]]="BR",1,IF(DataTable[[#This Row],[explanation2]]="BR",1,0))))</f>
        <v>0</v>
      </c>
      <c r="Z178" s="18">
        <f>IF(DataTable[[#This Row],[explanation1]]="BL",1,IF(DataTable[[#This Row],[explanation2]]="BL",1,0))</f>
        <v>0</v>
      </c>
      <c r="AA178" s="18">
        <f>IF(DataTable[[#This Row],[explanation1]]="WJ",1,IF(DataTable[[#This Row],[explanation2]]="WJ",1,0))</f>
        <v>0</v>
      </c>
      <c r="AB178" s="18">
        <f>IF(DataTable[[#This Row],[explanation1]]="U",1,IF(DataTable[[#This Row],[explanation2]]="U",1,0))</f>
        <v>0</v>
      </c>
      <c r="AC178" s="18">
        <f>IF(DataTable[[#This Row],[explanation1]]="O",1,IF(DataTable[[#This Row],[explanation2]]="O",1,0))</f>
        <v>0</v>
      </c>
      <c r="AD178" s="18">
        <f>IF(DataTable[[#This Row],[explanation1]]="TP",1,IF(DataTable[[#This Row],[explanation2]]="TP",1,0))</f>
        <v>0</v>
      </c>
      <c r="AE178" s="18">
        <f>IF(DataTable[[#This Row],[explanation1]]="WP",1,IF(DataTable[[#This Row],[explanation2]]="WP",1,0))</f>
        <v>0</v>
      </c>
      <c r="AF178" s="18">
        <f>IF(DataTable[[#This Row],[explanation1]]="BR",1,IF(DataTable[[#This Row],[explanation2]]="BR",1,0))</f>
        <v>0</v>
      </c>
      <c r="AG178" s="18">
        <f>IF(DataTable[[#This Row],[explanation1]]="LS",1,IF(DataTable[[#This Row],[explanation2]]="LS",1,0))</f>
        <v>1</v>
      </c>
      <c r="AH178" s="37" t="s">
        <v>261</v>
      </c>
    </row>
    <row r="179" spans="1:34" x14ac:dyDescent="0.2">
      <c r="A179" s="13">
        <v>177</v>
      </c>
      <c r="B179" s="14" t="s">
        <v>44</v>
      </c>
      <c r="C179" s="15" t="s">
        <v>74</v>
      </c>
      <c r="D179" s="16">
        <v>1</v>
      </c>
      <c r="E179" s="14" t="s">
        <v>46</v>
      </c>
      <c r="F179" s="16">
        <v>22</v>
      </c>
      <c r="G179" s="14" t="s">
        <v>47</v>
      </c>
      <c r="H179" s="15" t="s">
        <v>48</v>
      </c>
      <c r="I179" s="16" t="str">
        <f t="shared" si="2"/>
        <v>R</v>
      </c>
      <c r="J179" s="14" t="s">
        <v>78</v>
      </c>
      <c r="K179" s="16" t="s">
        <v>50</v>
      </c>
      <c r="L179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79" s="15">
        <f>IF(DataTable[[#This Row],[3x head (H)/tail (T)?]]=DataTable[[#This Row],[then 4th: H/T/B/0]],1,0)</f>
        <v>0</v>
      </c>
      <c r="N179" s="15">
        <f>IF(DataTable[[#This Row],[then 4th: H/T/B/0]]="B",1,0)</f>
        <v>1</v>
      </c>
      <c r="O179" s="14" t="s">
        <v>228</v>
      </c>
      <c r="P179" s="15">
        <v>21</v>
      </c>
      <c r="Q179" s="17" t="s">
        <v>409</v>
      </c>
      <c r="R179" s="16" t="s">
        <v>53</v>
      </c>
      <c r="S179" s="18" t="s">
        <v>75</v>
      </c>
      <c r="T179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179" s="19" t="s">
        <v>76</v>
      </c>
      <c r="V179" s="20" t="s">
        <v>6</v>
      </c>
      <c r="W179" s="20"/>
      <c r="X179" s="18"/>
      <c r="Y179" s="18">
        <f>IF(DataTable[[#This Row],[explanation1]]="BL",1,IF(DataTable[[#This Row],[explanation2]]="BL",1,IF(DataTable[[#This Row],[explanation1]]="BR",1,IF(DataTable[[#This Row],[explanation2]]="BR",1,0))))</f>
        <v>1</v>
      </c>
      <c r="Z179" s="18">
        <f>IF(DataTable[[#This Row],[explanation1]]="BL",1,IF(DataTable[[#This Row],[explanation2]]="BL",1,0))</f>
        <v>1</v>
      </c>
      <c r="AA179" s="18">
        <f>IF(DataTable[[#This Row],[explanation1]]="WJ",1,IF(DataTable[[#This Row],[explanation2]]="WJ",1,0))</f>
        <v>0</v>
      </c>
      <c r="AB179" s="18">
        <f>IF(DataTable[[#This Row],[explanation1]]="U",1,IF(DataTable[[#This Row],[explanation2]]="U",1,0))</f>
        <v>0</v>
      </c>
      <c r="AC179" s="18">
        <f>IF(DataTable[[#This Row],[explanation1]]="O",1,IF(DataTable[[#This Row],[explanation2]]="O",1,0))</f>
        <v>0</v>
      </c>
      <c r="AD179" s="18">
        <f>IF(DataTable[[#This Row],[explanation1]]="TP",1,IF(DataTable[[#This Row],[explanation2]]="TP",1,0))</f>
        <v>0</v>
      </c>
      <c r="AE179" s="18">
        <f>IF(DataTable[[#This Row],[explanation1]]="WP",1,IF(DataTable[[#This Row],[explanation2]]="WP",1,0))</f>
        <v>0</v>
      </c>
      <c r="AF179" s="18">
        <f>IF(DataTable[[#This Row],[explanation1]]="BR",1,IF(DataTable[[#This Row],[explanation2]]="BR",1,0))</f>
        <v>0</v>
      </c>
      <c r="AG179" s="18">
        <f>IF(DataTable[[#This Row],[explanation1]]="LS",1,IF(DataTable[[#This Row],[explanation2]]="LS",1,0))</f>
        <v>0</v>
      </c>
      <c r="AH179" s="30" t="s">
        <v>6</v>
      </c>
    </row>
    <row r="180" spans="1:34" x14ac:dyDescent="0.2">
      <c r="A180" s="22">
        <v>178</v>
      </c>
      <c r="B180" s="23" t="s">
        <v>44</v>
      </c>
      <c r="C180" s="24" t="s">
        <v>45</v>
      </c>
      <c r="D180" s="25">
        <v>50</v>
      </c>
      <c r="E180" s="23" t="s">
        <v>58</v>
      </c>
      <c r="F180" s="25">
        <v>23</v>
      </c>
      <c r="G180" s="23" t="s">
        <v>47</v>
      </c>
      <c r="H180" s="24" t="s">
        <v>48</v>
      </c>
      <c r="I180" s="25" t="str">
        <f t="shared" si="2"/>
        <v>R</v>
      </c>
      <c r="J180" s="23" t="s">
        <v>78</v>
      </c>
      <c r="K180" s="25" t="s">
        <v>50</v>
      </c>
      <c r="L180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80" s="24">
        <f>IF(DataTable[[#This Row],[3x head (H)/tail (T)?]]=DataTable[[#This Row],[then 4th: H/T/B/0]],1,0)</f>
        <v>0</v>
      </c>
      <c r="N180" s="24">
        <f>IF(DataTable[[#This Row],[then 4th: H/T/B/0]]="B",1,0)</f>
        <v>1</v>
      </c>
      <c r="O180" s="23" t="s">
        <v>228</v>
      </c>
      <c r="P180" s="24">
        <v>21</v>
      </c>
      <c r="Q180" s="26" t="s">
        <v>409</v>
      </c>
      <c r="R180" s="25" t="s">
        <v>53</v>
      </c>
      <c r="S180" s="27" t="s">
        <v>54</v>
      </c>
      <c r="T180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180" s="28" t="s">
        <v>153</v>
      </c>
      <c r="V180" s="29" t="s">
        <v>10</v>
      </c>
      <c r="W180" s="29" t="s">
        <v>11</v>
      </c>
      <c r="X180" s="27"/>
      <c r="Y180" s="27">
        <f>IF(DataTable[[#This Row],[explanation1]]="BL",1,IF(DataTable[[#This Row],[explanation2]]="BL",1,IF(DataTable[[#This Row],[explanation1]]="BR",1,IF(DataTable[[#This Row],[explanation2]]="BR",1,0))))</f>
        <v>0</v>
      </c>
      <c r="Z180" s="18">
        <f>IF(DataTable[[#This Row],[explanation1]]="BL",1,IF(DataTable[[#This Row],[explanation2]]="BL",1,0))</f>
        <v>0</v>
      </c>
      <c r="AA180" s="18">
        <f>IF(DataTable[[#This Row],[explanation1]]="WJ",1,IF(DataTable[[#This Row],[explanation2]]="WJ",1,0))</f>
        <v>0</v>
      </c>
      <c r="AB180" s="18">
        <f>IF(DataTable[[#This Row],[explanation1]]="U",1,IF(DataTable[[#This Row],[explanation2]]="U",1,0))</f>
        <v>0</v>
      </c>
      <c r="AC180" s="18">
        <f>IF(DataTable[[#This Row],[explanation1]]="O",1,IF(DataTable[[#This Row],[explanation2]]="O",1,0))</f>
        <v>0</v>
      </c>
      <c r="AD180" s="18">
        <f>IF(DataTable[[#This Row],[explanation1]]="TP",1,IF(DataTable[[#This Row],[explanation2]]="TP",1,0))</f>
        <v>1</v>
      </c>
      <c r="AE180" s="18">
        <f>IF(DataTable[[#This Row],[explanation1]]="WP",1,IF(DataTable[[#This Row],[explanation2]]="WP",1,0))</f>
        <v>1</v>
      </c>
      <c r="AF180" s="18">
        <f>IF(DataTable[[#This Row],[explanation1]]="BR",1,IF(DataTable[[#This Row],[explanation2]]="BR",1,0))</f>
        <v>0</v>
      </c>
      <c r="AG180" s="18">
        <f>IF(DataTable[[#This Row],[explanation1]]="LS",1,IF(DataTable[[#This Row],[explanation2]]="LS",1,0))</f>
        <v>0</v>
      </c>
      <c r="AH180" s="37" t="s">
        <v>262</v>
      </c>
    </row>
    <row r="181" spans="1:34" x14ac:dyDescent="0.2">
      <c r="A181" s="13">
        <v>179</v>
      </c>
      <c r="B181" s="14" t="s">
        <v>68</v>
      </c>
      <c r="C181" s="15" t="s">
        <v>74</v>
      </c>
      <c r="D181" s="16">
        <v>1</v>
      </c>
      <c r="E181" s="14" t="s">
        <v>46</v>
      </c>
      <c r="F181" s="16">
        <v>25</v>
      </c>
      <c r="G181" s="14" t="s">
        <v>47</v>
      </c>
      <c r="H181" s="15" t="s">
        <v>48</v>
      </c>
      <c r="I181" s="16" t="str">
        <f t="shared" si="2"/>
        <v>R</v>
      </c>
      <c r="J181" s="14" t="s">
        <v>78</v>
      </c>
      <c r="K181" s="16" t="s">
        <v>50</v>
      </c>
      <c r="L181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81" s="15">
        <f>IF(DataTable[[#This Row],[3x head (H)/tail (T)?]]=DataTable[[#This Row],[then 4th: H/T/B/0]],1,0)</f>
        <v>0</v>
      </c>
      <c r="N181" s="15">
        <f>IF(DataTable[[#This Row],[then 4th: H/T/B/0]]="B",1,0)</f>
        <v>1</v>
      </c>
      <c r="O181" s="14" t="s">
        <v>228</v>
      </c>
      <c r="P181" s="15">
        <v>21</v>
      </c>
      <c r="Q181" s="17" t="s">
        <v>409</v>
      </c>
      <c r="R181" s="16" t="s">
        <v>53</v>
      </c>
      <c r="S181" s="18" t="s">
        <v>65</v>
      </c>
      <c r="T181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181" s="19" t="s">
        <v>95</v>
      </c>
      <c r="V181" s="20" t="s">
        <v>13</v>
      </c>
      <c r="W181" s="20"/>
      <c r="X181" s="18"/>
      <c r="Y181" s="18">
        <f>IF(DataTable[[#This Row],[explanation1]]="BL",1,IF(DataTable[[#This Row],[explanation2]]="BL",1,IF(DataTable[[#This Row],[explanation1]]="BR",1,IF(DataTable[[#This Row],[explanation2]]="BR",1,0))))</f>
        <v>0</v>
      </c>
      <c r="Z181" s="18">
        <f>IF(DataTable[[#This Row],[explanation1]]="BL",1,IF(DataTable[[#This Row],[explanation2]]="BL",1,0))</f>
        <v>0</v>
      </c>
      <c r="AA181" s="18">
        <f>IF(DataTable[[#This Row],[explanation1]]="WJ",1,IF(DataTable[[#This Row],[explanation2]]="WJ",1,0))</f>
        <v>0</v>
      </c>
      <c r="AB181" s="18">
        <f>IF(DataTable[[#This Row],[explanation1]]="U",1,IF(DataTable[[#This Row],[explanation2]]="U",1,0))</f>
        <v>0</v>
      </c>
      <c r="AC181" s="18">
        <f>IF(DataTable[[#This Row],[explanation1]]="O",1,IF(DataTable[[#This Row],[explanation2]]="O",1,0))</f>
        <v>0</v>
      </c>
      <c r="AD181" s="18">
        <f>IF(DataTable[[#This Row],[explanation1]]="TP",1,IF(DataTable[[#This Row],[explanation2]]="TP",1,0))</f>
        <v>0</v>
      </c>
      <c r="AE181" s="18">
        <f>IF(DataTable[[#This Row],[explanation1]]="WP",1,IF(DataTable[[#This Row],[explanation2]]="WP",1,0))</f>
        <v>0</v>
      </c>
      <c r="AF181" s="18">
        <f>IF(DataTable[[#This Row],[explanation1]]="BR",1,IF(DataTable[[#This Row],[explanation2]]="BR",1,0))</f>
        <v>0</v>
      </c>
      <c r="AG181" s="18">
        <f>IF(DataTable[[#This Row],[explanation1]]="LS",1,IF(DataTable[[#This Row],[explanation2]]="LS",1,0))</f>
        <v>1</v>
      </c>
      <c r="AH181" s="20" t="s">
        <v>263</v>
      </c>
    </row>
    <row r="182" spans="1:34" x14ac:dyDescent="0.2">
      <c r="A182" s="22">
        <v>180</v>
      </c>
      <c r="B182" s="23" t="s">
        <v>68</v>
      </c>
      <c r="C182" s="24" t="s">
        <v>74</v>
      </c>
      <c r="D182" s="25">
        <v>1</v>
      </c>
      <c r="E182" s="23" t="s">
        <v>58</v>
      </c>
      <c r="F182" s="25">
        <v>45</v>
      </c>
      <c r="G182" s="23" t="s">
        <v>47</v>
      </c>
      <c r="H182" s="24" t="s">
        <v>81</v>
      </c>
      <c r="I182" s="25" t="str">
        <f t="shared" si="2"/>
        <v>H5</v>
      </c>
      <c r="J182" s="23" t="s">
        <v>49</v>
      </c>
      <c r="K182" s="25" t="s">
        <v>49</v>
      </c>
      <c r="L182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82" s="24">
        <f>IF(DataTable[[#This Row],[3x head (H)/tail (T)?]]=DataTable[[#This Row],[then 4th: H/T/B/0]],1,0)</f>
        <v>1</v>
      </c>
      <c r="N182" s="24">
        <f>IF(DataTable[[#This Row],[then 4th: H/T/B/0]]="B",1,0)</f>
        <v>0</v>
      </c>
      <c r="O182" s="23" t="s">
        <v>228</v>
      </c>
      <c r="P182" s="24">
        <v>21</v>
      </c>
      <c r="Q182" s="26" t="s">
        <v>409</v>
      </c>
      <c r="R182" s="25" t="s">
        <v>53</v>
      </c>
      <c r="S182" s="27" t="s">
        <v>65</v>
      </c>
      <c r="T182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182" s="28" t="s">
        <v>95</v>
      </c>
      <c r="V182" s="29" t="s">
        <v>13</v>
      </c>
      <c r="W182" s="29"/>
      <c r="X182" s="27"/>
      <c r="Y182" s="27">
        <f>IF(DataTable[[#This Row],[explanation1]]="BL",1,IF(DataTable[[#This Row],[explanation2]]="BL",1,IF(DataTable[[#This Row],[explanation1]]="BR",1,IF(DataTable[[#This Row],[explanation2]]="BR",1,0))))</f>
        <v>0</v>
      </c>
      <c r="Z182" s="18">
        <f>IF(DataTable[[#This Row],[explanation1]]="BL",1,IF(DataTable[[#This Row],[explanation2]]="BL",1,0))</f>
        <v>0</v>
      </c>
      <c r="AA182" s="18">
        <f>IF(DataTable[[#This Row],[explanation1]]="WJ",1,IF(DataTable[[#This Row],[explanation2]]="WJ",1,0))</f>
        <v>0</v>
      </c>
      <c r="AB182" s="18">
        <f>IF(DataTable[[#This Row],[explanation1]]="U",1,IF(DataTable[[#This Row],[explanation2]]="U",1,0))</f>
        <v>0</v>
      </c>
      <c r="AC182" s="18">
        <f>IF(DataTable[[#This Row],[explanation1]]="O",1,IF(DataTable[[#This Row],[explanation2]]="O",1,0))</f>
        <v>0</v>
      </c>
      <c r="AD182" s="18">
        <f>IF(DataTable[[#This Row],[explanation1]]="TP",1,IF(DataTable[[#This Row],[explanation2]]="TP",1,0))</f>
        <v>0</v>
      </c>
      <c r="AE182" s="18">
        <f>IF(DataTable[[#This Row],[explanation1]]="WP",1,IF(DataTable[[#This Row],[explanation2]]="WP",1,0))</f>
        <v>0</v>
      </c>
      <c r="AF182" s="18">
        <f>IF(DataTable[[#This Row],[explanation1]]="BR",1,IF(DataTable[[#This Row],[explanation2]]="BR",1,0))</f>
        <v>0</v>
      </c>
      <c r="AG182" s="18">
        <f>IF(DataTable[[#This Row],[explanation1]]="LS",1,IF(DataTable[[#This Row],[explanation2]]="LS",1,0))</f>
        <v>1</v>
      </c>
      <c r="AH182" s="37" t="s">
        <v>264</v>
      </c>
    </row>
    <row r="183" spans="1:34" x14ac:dyDescent="0.2">
      <c r="A183" s="13">
        <v>181</v>
      </c>
      <c r="B183" s="14" t="s">
        <v>68</v>
      </c>
      <c r="C183" s="15" t="s">
        <v>74</v>
      </c>
      <c r="D183" s="16">
        <v>50</v>
      </c>
      <c r="E183" s="14" t="s">
        <v>46</v>
      </c>
      <c r="F183" s="16">
        <v>29</v>
      </c>
      <c r="G183" s="14" t="s">
        <v>47</v>
      </c>
      <c r="H183" s="15" t="s">
        <v>48</v>
      </c>
      <c r="I183" s="16" t="str">
        <f t="shared" si="2"/>
        <v>R</v>
      </c>
      <c r="J183" s="14" t="s">
        <v>78</v>
      </c>
      <c r="K183" s="16" t="s">
        <v>50</v>
      </c>
      <c r="L183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83" s="15">
        <f>IF(DataTable[[#This Row],[3x head (H)/tail (T)?]]=DataTable[[#This Row],[then 4th: H/T/B/0]],1,0)</f>
        <v>0</v>
      </c>
      <c r="N183" s="15">
        <f>IF(DataTable[[#This Row],[then 4th: H/T/B/0]]="B",1,0)</f>
        <v>1</v>
      </c>
      <c r="O183" s="14" t="s">
        <v>228</v>
      </c>
      <c r="P183" s="15">
        <v>21</v>
      </c>
      <c r="Q183" s="17" t="s">
        <v>409</v>
      </c>
      <c r="R183" s="16" t="s">
        <v>53</v>
      </c>
      <c r="S183" s="18" t="s">
        <v>75</v>
      </c>
      <c r="T183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183" s="19" t="s">
        <v>76</v>
      </c>
      <c r="V183" s="20" t="s">
        <v>6</v>
      </c>
      <c r="W183" s="20"/>
      <c r="X183" s="18"/>
      <c r="Y183" s="18">
        <f>IF(DataTable[[#This Row],[explanation1]]="BL",1,IF(DataTable[[#This Row],[explanation2]]="BL",1,IF(DataTable[[#This Row],[explanation1]]="BR",1,IF(DataTable[[#This Row],[explanation2]]="BR",1,0))))</f>
        <v>1</v>
      </c>
      <c r="Z183" s="18">
        <f>IF(DataTable[[#This Row],[explanation1]]="BL",1,IF(DataTable[[#This Row],[explanation2]]="BL",1,0))</f>
        <v>1</v>
      </c>
      <c r="AA183" s="18">
        <f>IF(DataTable[[#This Row],[explanation1]]="WJ",1,IF(DataTable[[#This Row],[explanation2]]="WJ",1,0))</f>
        <v>0</v>
      </c>
      <c r="AB183" s="18">
        <f>IF(DataTable[[#This Row],[explanation1]]="U",1,IF(DataTable[[#This Row],[explanation2]]="U",1,0))</f>
        <v>0</v>
      </c>
      <c r="AC183" s="18">
        <f>IF(DataTable[[#This Row],[explanation1]]="O",1,IF(DataTable[[#This Row],[explanation2]]="O",1,0))</f>
        <v>0</v>
      </c>
      <c r="AD183" s="18">
        <f>IF(DataTable[[#This Row],[explanation1]]="TP",1,IF(DataTable[[#This Row],[explanation2]]="TP",1,0))</f>
        <v>0</v>
      </c>
      <c r="AE183" s="18">
        <f>IF(DataTable[[#This Row],[explanation1]]="WP",1,IF(DataTable[[#This Row],[explanation2]]="WP",1,0))</f>
        <v>0</v>
      </c>
      <c r="AF183" s="18">
        <f>IF(DataTable[[#This Row],[explanation1]]="BR",1,IF(DataTable[[#This Row],[explanation2]]="BR",1,0))</f>
        <v>0</v>
      </c>
      <c r="AG183" s="18">
        <f>IF(DataTable[[#This Row],[explanation1]]="LS",1,IF(DataTable[[#This Row],[explanation2]]="LS",1,0))</f>
        <v>0</v>
      </c>
      <c r="AH183" s="30" t="s">
        <v>265</v>
      </c>
    </row>
    <row r="184" spans="1:34" x14ac:dyDescent="0.2">
      <c r="A184" s="22">
        <v>182</v>
      </c>
      <c r="B184" s="23" t="s">
        <v>68</v>
      </c>
      <c r="C184" s="24" t="s">
        <v>74</v>
      </c>
      <c r="D184" s="25">
        <v>50</v>
      </c>
      <c r="E184" s="23" t="s">
        <v>58</v>
      </c>
      <c r="F184" s="25">
        <v>52</v>
      </c>
      <c r="G184" s="23" t="s">
        <v>68</v>
      </c>
      <c r="H184" s="24" t="s">
        <v>48</v>
      </c>
      <c r="I184" s="25" t="str">
        <f t="shared" si="2"/>
        <v>H5</v>
      </c>
      <c r="J184" s="23" t="s">
        <v>49</v>
      </c>
      <c r="K184" s="25" t="s">
        <v>49</v>
      </c>
      <c r="L184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84" s="24">
        <f>IF(DataTable[[#This Row],[3x head (H)/tail (T)?]]=DataTable[[#This Row],[then 4th: H/T/B/0]],1,0)</f>
        <v>1</v>
      </c>
      <c r="N184" s="24">
        <f>IF(DataTable[[#This Row],[then 4th: H/T/B/0]]="B",1,0)</f>
        <v>0</v>
      </c>
      <c r="O184" s="23" t="s">
        <v>228</v>
      </c>
      <c r="P184" s="24">
        <v>21</v>
      </c>
      <c r="Q184" s="26" t="s">
        <v>409</v>
      </c>
      <c r="R184" s="25" t="s">
        <v>53</v>
      </c>
      <c r="S184" s="27" t="s">
        <v>103</v>
      </c>
      <c r="T184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5</v>
      </c>
      <c r="U184" s="28" t="s">
        <v>213</v>
      </c>
      <c r="V184" s="29" t="s">
        <v>9</v>
      </c>
      <c r="W184" s="29" t="s">
        <v>13</v>
      </c>
      <c r="X184" s="27"/>
      <c r="Y184" s="27">
        <f>IF(DataTable[[#This Row],[explanation1]]="BL",1,IF(DataTable[[#This Row],[explanation2]]="BL",1,IF(DataTable[[#This Row],[explanation1]]="BR",1,IF(DataTable[[#This Row],[explanation2]]="BR",1,0))))</f>
        <v>0</v>
      </c>
      <c r="Z184" s="18">
        <f>IF(DataTable[[#This Row],[explanation1]]="BL",1,IF(DataTable[[#This Row],[explanation2]]="BL",1,0))</f>
        <v>0</v>
      </c>
      <c r="AA184" s="18">
        <f>IF(DataTable[[#This Row],[explanation1]]="WJ",1,IF(DataTable[[#This Row],[explanation2]]="WJ",1,0))</f>
        <v>0</v>
      </c>
      <c r="AB184" s="18">
        <f>IF(DataTable[[#This Row],[explanation1]]="U",1,IF(DataTable[[#This Row],[explanation2]]="U",1,0))</f>
        <v>0</v>
      </c>
      <c r="AC184" s="18">
        <f>IF(DataTable[[#This Row],[explanation1]]="O",1,IF(DataTable[[#This Row],[explanation2]]="O",1,0))</f>
        <v>1</v>
      </c>
      <c r="AD184" s="18">
        <f>IF(DataTable[[#This Row],[explanation1]]="TP",1,IF(DataTable[[#This Row],[explanation2]]="TP",1,0))</f>
        <v>0</v>
      </c>
      <c r="AE184" s="18">
        <f>IF(DataTable[[#This Row],[explanation1]]="WP",1,IF(DataTable[[#This Row],[explanation2]]="WP",1,0))</f>
        <v>0</v>
      </c>
      <c r="AF184" s="18">
        <f>IF(DataTable[[#This Row],[explanation1]]="BR",1,IF(DataTable[[#This Row],[explanation2]]="BR",1,0))</f>
        <v>0</v>
      </c>
      <c r="AG184" s="18">
        <f>IF(DataTable[[#This Row],[explanation1]]="LS",1,IF(DataTable[[#This Row],[explanation2]]="LS",1,0))</f>
        <v>1</v>
      </c>
      <c r="AH184" s="37" t="s">
        <v>266</v>
      </c>
    </row>
    <row r="185" spans="1:34" x14ac:dyDescent="0.2">
      <c r="A185" s="13">
        <v>183</v>
      </c>
      <c r="B185" s="14" t="s">
        <v>64</v>
      </c>
      <c r="C185" s="15" t="s">
        <v>74</v>
      </c>
      <c r="D185" s="16">
        <v>50</v>
      </c>
      <c r="E185" s="14" t="s">
        <v>58</v>
      </c>
      <c r="F185" s="16">
        <v>39</v>
      </c>
      <c r="G185" s="14" t="s">
        <v>64</v>
      </c>
      <c r="H185" s="15" t="s">
        <v>48</v>
      </c>
      <c r="I185" s="16" t="str">
        <f t="shared" si="2"/>
        <v>M1</v>
      </c>
      <c r="J185" s="14" t="s">
        <v>78</v>
      </c>
      <c r="K185" s="16" t="s">
        <v>49</v>
      </c>
      <c r="L185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185" s="15">
        <f>IF(DataTable[[#This Row],[3x head (H)/tail (T)?]]=DataTable[[#This Row],[then 4th: H/T/B/0]],1,0)</f>
        <v>0</v>
      </c>
      <c r="N185" s="15">
        <f>IF(DataTable[[#This Row],[then 4th: H/T/B/0]]="B",1,0)</f>
        <v>0</v>
      </c>
      <c r="O185" s="14" t="s">
        <v>228</v>
      </c>
      <c r="P185" s="15">
        <v>21</v>
      </c>
      <c r="Q185" s="17" t="s">
        <v>409</v>
      </c>
      <c r="R185" s="16" t="s">
        <v>53</v>
      </c>
      <c r="S185" s="18" t="s">
        <v>65</v>
      </c>
      <c r="T185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185" s="19" t="s">
        <v>95</v>
      </c>
      <c r="V185" s="20" t="s">
        <v>13</v>
      </c>
      <c r="W185" s="20"/>
      <c r="X185" s="18"/>
      <c r="Y185" s="18">
        <f>IF(DataTable[[#This Row],[explanation1]]="BL",1,IF(DataTable[[#This Row],[explanation2]]="BL",1,IF(DataTable[[#This Row],[explanation1]]="BR",1,IF(DataTable[[#This Row],[explanation2]]="BR",1,0))))</f>
        <v>0</v>
      </c>
      <c r="Z185" s="18">
        <f>IF(DataTable[[#This Row],[explanation1]]="BL",1,IF(DataTable[[#This Row],[explanation2]]="BL",1,0))</f>
        <v>0</v>
      </c>
      <c r="AA185" s="18">
        <f>IF(DataTable[[#This Row],[explanation1]]="WJ",1,IF(DataTable[[#This Row],[explanation2]]="WJ",1,0))</f>
        <v>0</v>
      </c>
      <c r="AB185" s="18">
        <f>IF(DataTable[[#This Row],[explanation1]]="U",1,IF(DataTable[[#This Row],[explanation2]]="U",1,0))</f>
        <v>0</v>
      </c>
      <c r="AC185" s="18">
        <f>IF(DataTable[[#This Row],[explanation1]]="O",1,IF(DataTable[[#This Row],[explanation2]]="O",1,0))</f>
        <v>0</v>
      </c>
      <c r="AD185" s="18">
        <f>IF(DataTable[[#This Row],[explanation1]]="TP",1,IF(DataTable[[#This Row],[explanation2]]="TP",1,0))</f>
        <v>0</v>
      </c>
      <c r="AE185" s="18">
        <f>IF(DataTable[[#This Row],[explanation1]]="WP",1,IF(DataTable[[#This Row],[explanation2]]="WP",1,0))</f>
        <v>0</v>
      </c>
      <c r="AF185" s="18">
        <f>IF(DataTable[[#This Row],[explanation1]]="BR",1,IF(DataTable[[#This Row],[explanation2]]="BR",1,0))</f>
        <v>0</v>
      </c>
      <c r="AG185" s="18">
        <f>IF(DataTable[[#This Row],[explanation1]]="LS",1,IF(DataTable[[#This Row],[explanation2]]="LS",1,0))</f>
        <v>1</v>
      </c>
      <c r="AH185" s="30" t="s">
        <v>267</v>
      </c>
    </row>
    <row r="186" spans="1:34" x14ac:dyDescent="0.2">
      <c r="A186" s="22">
        <v>184</v>
      </c>
      <c r="B186" s="23" t="s">
        <v>57</v>
      </c>
      <c r="C186" s="24" t="s">
        <v>74</v>
      </c>
      <c r="D186" s="25">
        <v>1</v>
      </c>
      <c r="E186" s="23" t="s">
        <v>58</v>
      </c>
      <c r="F186" s="25">
        <v>23</v>
      </c>
      <c r="G186" s="23" t="s">
        <v>47</v>
      </c>
      <c r="H186" s="24" t="s">
        <v>81</v>
      </c>
      <c r="I186" s="25" t="str">
        <f t="shared" si="2"/>
        <v>H1</v>
      </c>
      <c r="J186" s="23" t="s">
        <v>78</v>
      </c>
      <c r="K186" s="25" t="s">
        <v>50</v>
      </c>
      <c r="L186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86" s="24">
        <f>IF(DataTable[[#This Row],[3x head (H)/tail (T)?]]=DataTable[[#This Row],[then 4th: H/T/B/0]],1,0)</f>
        <v>0</v>
      </c>
      <c r="N186" s="24">
        <f>IF(DataTable[[#This Row],[then 4th: H/T/B/0]]="B",1,0)</f>
        <v>1</v>
      </c>
      <c r="O186" s="23" t="s">
        <v>268</v>
      </c>
      <c r="P186" s="24">
        <v>14</v>
      </c>
      <c r="Q186" s="24" t="s">
        <v>411</v>
      </c>
      <c r="R186" s="25" t="s">
        <v>53</v>
      </c>
      <c r="S186" s="27" t="s">
        <v>103</v>
      </c>
      <c r="T186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5</v>
      </c>
      <c r="U186" s="28" t="s">
        <v>213</v>
      </c>
      <c r="V186" s="29" t="s">
        <v>7</v>
      </c>
      <c r="W186" s="29"/>
      <c r="X186" s="27"/>
      <c r="Y186" s="27">
        <f>IF(DataTable[[#This Row],[explanation1]]="BL",1,IF(DataTable[[#This Row],[explanation2]]="BL",1,IF(DataTable[[#This Row],[explanation1]]="BR",1,IF(DataTable[[#This Row],[explanation2]]="BR",1,0))))</f>
        <v>0</v>
      </c>
      <c r="Z186" s="18">
        <f>IF(DataTable[[#This Row],[explanation1]]="BL",1,IF(DataTable[[#This Row],[explanation2]]="BL",1,0))</f>
        <v>0</v>
      </c>
      <c r="AA186" s="18">
        <f>IF(DataTable[[#This Row],[explanation1]]="WJ",1,IF(DataTable[[#This Row],[explanation2]]="WJ",1,0))</f>
        <v>1</v>
      </c>
      <c r="AB186" s="18">
        <f>IF(DataTable[[#This Row],[explanation1]]="U",1,IF(DataTable[[#This Row],[explanation2]]="U",1,0))</f>
        <v>0</v>
      </c>
      <c r="AC186" s="18">
        <f>IF(DataTable[[#This Row],[explanation1]]="O",1,IF(DataTable[[#This Row],[explanation2]]="O",1,0))</f>
        <v>0</v>
      </c>
      <c r="AD186" s="18">
        <f>IF(DataTable[[#This Row],[explanation1]]="TP",1,IF(DataTable[[#This Row],[explanation2]]="TP",1,0))</f>
        <v>0</v>
      </c>
      <c r="AE186" s="18">
        <f>IF(DataTable[[#This Row],[explanation1]]="WP",1,IF(DataTable[[#This Row],[explanation2]]="WP",1,0))</f>
        <v>0</v>
      </c>
      <c r="AF186" s="18">
        <f>IF(DataTable[[#This Row],[explanation1]]="BR",1,IF(DataTable[[#This Row],[explanation2]]="BR",1,0))</f>
        <v>0</v>
      </c>
      <c r="AG186" s="18">
        <f>IF(DataTable[[#This Row],[explanation1]]="LS",1,IF(DataTable[[#This Row],[explanation2]]="LS",1,0))</f>
        <v>0</v>
      </c>
      <c r="AH186" s="37" t="s">
        <v>269</v>
      </c>
    </row>
    <row r="187" spans="1:34" x14ac:dyDescent="0.2">
      <c r="A187" s="13">
        <v>185</v>
      </c>
      <c r="B187" s="14" t="s">
        <v>68</v>
      </c>
      <c r="C187" s="15" t="s">
        <v>74</v>
      </c>
      <c r="D187" s="16">
        <v>1</v>
      </c>
      <c r="E187" s="14" t="s">
        <v>46</v>
      </c>
      <c r="F187" s="16">
        <v>32</v>
      </c>
      <c r="G187" s="14" t="s">
        <v>68</v>
      </c>
      <c r="H187" s="15" t="s">
        <v>81</v>
      </c>
      <c r="I187" s="16" t="str">
        <f t="shared" si="2"/>
        <v>R</v>
      </c>
      <c r="J187" s="14" t="s">
        <v>78</v>
      </c>
      <c r="K187" s="16" t="s">
        <v>50</v>
      </c>
      <c r="L187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87" s="15">
        <f>IF(DataTable[[#This Row],[3x head (H)/tail (T)?]]=DataTable[[#This Row],[then 4th: H/T/B/0]],1,0)</f>
        <v>0</v>
      </c>
      <c r="N187" s="15">
        <f>IF(DataTable[[#This Row],[then 4th: H/T/B/0]]="B",1,0)</f>
        <v>1</v>
      </c>
      <c r="O187" s="14" t="s">
        <v>268</v>
      </c>
      <c r="P187" s="15">
        <v>14</v>
      </c>
      <c r="Q187" s="15" t="s">
        <v>411</v>
      </c>
      <c r="R187" s="16" t="s">
        <v>53</v>
      </c>
      <c r="S187" s="18" t="s">
        <v>75</v>
      </c>
      <c r="T187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187" s="19" t="s">
        <v>76</v>
      </c>
      <c r="V187" s="20" t="s">
        <v>13</v>
      </c>
      <c r="W187" s="20"/>
      <c r="X187" s="18"/>
      <c r="Y187" s="18">
        <f>IF(DataTable[[#This Row],[explanation1]]="BL",1,IF(DataTable[[#This Row],[explanation2]]="BL",1,IF(DataTable[[#This Row],[explanation1]]="BR",1,IF(DataTable[[#This Row],[explanation2]]="BR",1,0))))</f>
        <v>0</v>
      </c>
      <c r="Z187" s="18">
        <f>IF(DataTable[[#This Row],[explanation1]]="BL",1,IF(DataTable[[#This Row],[explanation2]]="BL",1,0))</f>
        <v>0</v>
      </c>
      <c r="AA187" s="18">
        <f>IF(DataTable[[#This Row],[explanation1]]="WJ",1,IF(DataTable[[#This Row],[explanation2]]="WJ",1,0))</f>
        <v>0</v>
      </c>
      <c r="AB187" s="18">
        <f>IF(DataTable[[#This Row],[explanation1]]="U",1,IF(DataTable[[#This Row],[explanation2]]="U",1,0))</f>
        <v>0</v>
      </c>
      <c r="AC187" s="18">
        <f>IF(DataTable[[#This Row],[explanation1]]="O",1,IF(DataTable[[#This Row],[explanation2]]="O",1,0))</f>
        <v>0</v>
      </c>
      <c r="AD187" s="18">
        <f>IF(DataTable[[#This Row],[explanation1]]="TP",1,IF(DataTable[[#This Row],[explanation2]]="TP",1,0))</f>
        <v>0</v>
      </c>
      <c r="AE187" s="18">
        <f>IF(DataTable[[#This Row],[explanation1]]="WP",1,IF(DataTable[[#This Row],[explanation2]]="WP",1,0))</f>
        <v>0</v>
      </c>
      <c r="AF187" s="18">
        <f>IF(DataTable[[#This Row],[explanation1]]="BR",1,IF(DataTable[[#This Row],[explanation2]]="BR",1,0))</f>
        <v>0</v>
      </c>
      <c r="AG187" s="18">
        <f>IF(DataTable[[#This Row],[explanation1]]="LS",1,IF(DataTable[[#This Row],[explanation2]]="LS",1,0))</f>
        <v>1</v>
      </c>
      <c r="AH187" s="30" t="s">
        <v>270</v>
      </c>
    </row>
    <row r="188" spans="1:34" x14ac:dyDescent="0.2">
      <c r="A188" s="22">
        <v>186</v>
      </c>
      <c r="B188" s="23" t="s">
        <v>68</v>
      </c>
      <c r="C188" s="24" t="s">
        <v>74</v>
      </c>
      <c r="D188" s="25">
        <v>1</v>
      </c>
      <c r="E188" s="23" t="s">
        <v>58</v>
      </c>
      <c r="F188" s="25">
        <v>37</v>
      </c>
      <c r="G188" s="23" t="s">
        <v>47</v>
      </c>
      <c r="H188" s="24" t="s">
        <v>48</v>
      </c>
      <c r="I188" s="25" t="str">
        <f t="shared" si="2"/>
        <v>R</v>
      </c>
      <c r="J188" s="23" t="s">
        <v>49</v>
      </c>
      <c r="K188" s="25" t="s">
        <v>78</v>
      </c>
      <c r="L188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188" s="24">
        <f>IF(DataTable[[#This Row],[3x head (H)/tail (T)?]]=DataTable[[#This Row],[then 4th: H/T/B/0]],1,0)</f>
        <v>0</v>
      </c>
      <c r="N188" s="24">
        <f>IF(DataTable[[#This Row],[then 4th: H/T/B/0]]="B",1,0)</f>
        <v>0</v>
      </c>
      <c r="O188" s="23" t="s">
        <v>268</v>
      </c>
      <c r="P188" s="24">
        <v>14</v>
      </c>
      <c r="Q188" s="24" t="s">
        <v>411</v>
      </c>
      <c r="R188" s="25" t="s">
        <v>53</v>
      </c>
      <c r="S188" s="27" t="s">
        <v>75</v>
      </c>
      <c r="T188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188" s="28" t="s">
        <v>76</v>
      </c>
      <c r="V188" s="29" t="s">
        <v>9</v>
      </c>
      <c r="W188" s="29"/>
      <c r="X188" s="27"/>
      <c r="Y188" s="27">
        <f>IF(DataTable[[#This Row],[explanation1]]="BL",1,IF(DataTable[[#This Row],[explanation2]]="BL",1,IF(DataTable[[#This Row],[explanation1]]="BR",1,IF(DataTable[[#This Row],[explanation2]]="BR",1,0))))</f>
        <v>0</v>
      </c>
      <c r="Z188" s="18">
        <f>IF(DataTable[[#This Row],[explanation1]]="BL",1,IF(DataTable[[#This Row],[explanation2]]="BL",1,0))</f>
        <v>0</v>
      </c>
      <c r="AA188" s="18">
        <f>IF(DataTable[[#This Row],[explanation1]]="WJ",1,IF(DataTable[[#This Row],[explanation2]]="WJ",1,0))</f>
        <v>0</v>
      </c>
      <c r="AB188" s="18">
        <f>IF(DataTable[[#This Row],[explanation1]]="U",1,IF(DataTable[[#This Row],[explanation2]]="U",1,0))</f>
        <v>0</v>
      </c>
      <c r="AC188" s="18">
        <f>IF(DataTable[[#This Row],[explanation1]]="O",1,IF(DataTable[[#This Row],[explanation2]]="O",1,0))</f>
        <v>1</v>
      </c>
      <c r="AD188" s="18">
        <f>IF(DataTable[[#This Row],[explanation1]]="TP",1,IF(DataTable[[#This Row],[explanation2]]="TP",1,0))</f>
        <v>0</v>
      </c>
      <c r="AE188" s="18">
        <f>IF(DataTable[[#This Row],[explanation1]]="WP",1,IF(DataTable[[#This Row],[explanation2]]="WP",1,0))</f>
        <v>0</v>
      </c>
      <c r="AF188" s="18">
        <f>IF(DataTable[[#This Row],[explanation1]]="BR",1,IF(DataTable[[#This Row],[explanation2]]="BR",1,0))</f>
        <v>0</v>
      </c>
      <c r="AG188" s="18">
        <f>IF(DataTable[[#This Row],[explanation1]]="LS",1,IF(DataTable[[#This Row],[explanation2]]="LS",1,0))</f>
        <v>0</v>
      </c>
      <c r="AH188" s="37" t="s">
        <v>257</v>
      </c>
    </row>
    <row r="189" spans="1:34" x14ac:dyDescent="0.2">
      <c r="A189" s="13">
        <v>187</v>
      </c>
      <c r="B189" s="14" t="s">
        <v>68</v>
      </c>
      <c r="C189" s="15" t="s">
        <v>74</v>
      </c>
      <c r="D189" s="16">
        <v>50</v>
      </c>
      <c r="E189" s="14" t="s">
        <v>46</v>
      </c>
      <c r="F189" s="16">
        <v>20</v>
      </c>
      <c r="G189" s="14" t="s">
        <v>47</v>
      </c>
      <c r="H189" s="15" t="s">
        <v>48</v>
      </c>
      <c r="I189" s="16" t="str">
        <f t="shared" si="2"/>
        <v>R</v>
      </c>
      <c r="J189" s="14" t="s">
        <v>49</v>
      </c>
      <c r="K189" s="16" t="s">
        <v>50</v>
      </c>
      <c r="L189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89" s="15">
        <f>IF(DataTable[[#This Row],[3x head (H)/tail (T)?]]=DataTable[[#This Row],[then 4th: H/T/B/0]],1,0)</f>
        <v>0</v>
      </c>
      <c r="N189" s="15">
        <f>IF(DataTable[[#This Row],[then 4th: H/T/B/0]]="B",1,0)</f>
        <v>1</v>
      </c>
      <c r="O189" s="14" t="s">
        <v>268</v>
      </c>
      <c r="P189" s="15">
        <v>14</v>
      </c>
      <c r="Q189" s="15" t="s">
        <v>411</v>
      </c>
      <c r="R189" s="16" t="s">
        <v>53</v>
      </c>
      <c r="S189" s="18" t="s">
        <v>75</v>
      </c>
      <c r="T189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189" s="19" t="s">
        <v>76</v>
      </c>
      <c r="V189" s="20" t="s">
        <v>6</v>
      </c>
      <c r="W189" s="20"/>
      <c r="X189" s="18"/>
      <c r="Y189" s="18">
        <f>IF(DataTable[[#This Row],[explanation1]]="BL",1,IF(DataTable[[#This Row],[explanation2]]="BL",1,IF(DataTable[[#This Row],[explanation1]]="BR",1,IF(DataTable[[#This Row],[explanation2]]="BR",1,0))))</f>
        <v>1</v>
      </c>
      <c r="Z189" s="18">
        <f>IF(DataTable[[#This Row],[explanation1]]="BL",1,IF(DataTable[[#This Row],[explanation2]]="BL",1,0))</f>
        <v>1</v>
      </c>
      <c r="AA189" s="18">
        <f>IF(DataTable[[#This Row],[explanation1]]="WJ",1,IF(DataTable[[#This Row],[explanation2]]="WJ",1,0))</f>
        <v>0</v>
      </c>
      <c r="AB189" s="18">
        <f>IF(DataTable[[#This Row],[explanation1]]="U",1,IF(DataTable[[#This Row],[explanation2]]="U",1,0))</f>
        <v>0</v>
      </c>
      <c r="AC189" s="18">
        <f>IF(DataTable[[#This Row],[explanation1]]="O",1,IF(DataTable[[#This Row],[explanation2]]="O",1,0))</f>
        <v>0</v>
      </c>
      <c r="AD189" s="18">
        <f>IF(DataTable[[#This Row],[explanation1]]="TP",1,IF(DataTable[[#This Row],[explanation2]]="TP",1,0))</f>
        <v>0</v>
      </c>
      <c r="AE189" s="18">
        <f>IF(DataTable[[#This Row],[explanation1]]="WP",1,IF(DataTable[[#This Row],[explanation2]]="WP",1,0))</f>
        <v>0</v>
      </c>
      <c r="AF189" s="18">
        <f>IF(DataTable[[#This Row],[explanation1]]="BR",1,IF(DataTable[[#This Row],[explanation2]]="BR",1,0))</f>
        <v>0</v>
      </c>
      <c r="AG189" s="18">
        <f>IF(DataTable[[#This Row],[explanation1]]="LS",1,IF(DataTable[[#This Row],[explanation2]]="LS",1,0))</f>
        <v>0</v>
      </c>
      <c r="AH189" s="30" t="s">
        <v>6</v>
      </c>
    </row>
    <row r="190" spans="1:34" x14ac:dyDescent="0.2">
      <c r="A190" s="22">
        <v>188</v>
      </c>
      <c r="B190" s="23" t="s">
        <v>44</v>
      </c>
      <c r="C190" s="24" t="s">
        <v>74</v>
      </c>
      <c r="D190" s="25">
        <v>1</v>
      </c>
      <c r="E190" s="23" t="s">
        <v>58</v>
      </c>
      <c r="F190" s="25">
        <v>45</v>
      </c>
      <c r="G190" s="23" t="s">
        <v>44</v>
      </c>
      <c r="H190" s="24" t="s">
        <v>48</v>
      </c>
      <c r="I190" s="25" t="str">
        <f t="shared" si="2"/>
        <v>L1</v>
      </c>
      <c r="J190" s="23" t="s">
        <v>78</v>
      </c>
      <c r="K190" s="25" t="s">
        <v>78</v>
      </c>
      <c r="L190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90" s="24">
        <f>IF(DataTable[[#This Row],[3x head (H)/tail (T)?]]=DataTable[[#This Row],[then 4th: H/T/B/0]],1,0)</f>
        <v>1</v>
      </c>
      <c r="N190" s="24">
        <f>IF(DataTable[[#This Row],[then 4th: H/T/B/0]]="B",1,0)</f>
        <v>0</v>
      </c>
      <c r="O190" s="23" t="s">
        <v>268</v>
      </c>
      <c r="P190" s="24">
        <v>14</v>
      </c>
      <c r="Q190" s="24" t="s">
        <v>411</v>
      </c>
      <c r="R190" s="25" t="s">
        <v>53</v>
      </c>
      <c r="S190" s="27" t="s">
        <v>65</v>
      </c>
      <c r="T190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190" s="28" t="s">
        <v>95</v>
      </c>
      <c r="V190" s="29" t="s">
        <v>8</v>
      </c>
      <c r="W190" s="29"/>
      <c r="X190" s="27"/>
      <c r="Y190" s="27">
        <f>IF(DataTable[[#This Row],[explanation1]]="BL",1,IF(DataTable[[#This Row],[explanation2]]="BL",1,IF(DataTable[[#This Row],[explanation1]]="BR",1,IF(DataTable[[#This Row],[explanation2]]="BR",1,0))))</f>
        <v>0</v>
      </c>
      <c r="Z190" s="18">
        <f>IF(DataTable[[#This Row],[explanation1]]="BL",1,IF(DataTable[[#This Row],[explanation2]]="BL",1,0))</f>
        <v>0</v>
      </c>
      <c r="AA190" s="18">
        <f>IF(DataTable[[#This Row],[explanation1]]="WJ",1,IF(DataTable[[#This Row],[explanation2]]="WJ",1,0))</f>
        <v>0</v>
      </c>
      <c r="AB190" s="18">
        <f>IF(DataTable[[#This Row],[explanation1]]="U",1,IF(DataTable[[#This Row],[explanation2]]="U",1,0))</f>
        <v>1</v>
      </c>
      <c r="AC190" s="18">
        <f>IF(DataTable[[#This Row],[explanation1]]="O",1,IF(DataTable[[#This Row],[explanation2]]="O",1,0))</f>
        <v>0</v>
      </c>
      <c r="AD190" s="18">
        <f>IF(DataTable[[#This Row],[explanation1]]="TP",1,IF(DataTable[[#This Row],[explanation2]]="TP",1,0))</f>
        <v>0</v>
      </c>
      <c r="AE190" s="18">
        <f>IF(DataTable[[#This Row],[explanation1]]="WP",1,IF(DataTable[[#This Row],[explanation2]]="WP",1,0))</f>
        <v>0</v>
      </c>
      <c r="AF190" s="18">
        <f>IF(DataTable[[#This Row],[explanation1]]="BR",1,IF(DataTable[[#This Row],[explanation2]]="BR",1,0))</f>
        <v>0</v>
      </c>
      <c r="AG190" s="18">
        <f>IF(DataTable[[#This Row],[explanation1]]="LS",1,IF(DataTable[[#This Row],[explanation2]]="LS",1,0))</f>
        <v>0</v>
      </c>
      <c r="AH190" s="37" t="s">
        <v>271</v>
      </c>
    </row>
    <row r="191" spans="1:34" x14ac:dyDescent="0.2">
      <c r="A191" s="13">
        <v>189</v>
      </c>
      <c r="B191" s="14" t="s">
        <v>44</v>
      </c>
      <c r="C191" s="15" t="s">
        <v>45</v>
      </c>
      <c r="D191" s="16">
        <v>50</v>
      </c>
      <c r="E191" s="14" t="s">
        <v>46</v>
      </c>
      <c r="F191" s="16">
        <v>23</v>
      </c>
      <c r="G191" s="14" t="s">
        <v>47</v>
      </c>
      <c r="H191" s="15" t="s">
        <v>48</v>
      </c>
      <c r="I191" s="16" t="str">
        <f t="shared" si="2"/>
        <v>R</v>
      </c>
      <c r="J191" s="14" t="s">
        <v>78</v>
      </c>
      <c r="K191" s="16" t="s">
        <v>50</v>
      </c>
      <c r="L191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91" s="15">
        <f>IF(DataTable[[#This Row],[3x head (H)/tail (T)?]]=DataTable[[#This Row],[then 4th: H/T/B/0]],1,0)</f>
        <v>0</v>
      </c>
      <c r="N191" s="15">
        <f>IF(DataTable[[#This Row],[then 4th: H/T/B/0]]="B",1,0)</f>
        <v>1</v>
      </c>
      <c r="O191" s="14" t="s">
        <v>268</v>
      </c>
      <c r="P191" s="15">
        <v>14</v>
      </c>
      <c r="Q191" s="15" t="s">
        <v>411</v>
      </c>
      <c r="R191" s="16" t="s">
        <v>53</v>
      </c>
      <c r="S191" s="18" t="s">
        <v>75</v>
      </c>
      <c r="T191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191" s="19" t="s">
        <v>76</v>
      </c>
      <c r="V191" s="20" t="s">
        <v>11</v>
      </c>
      <c r="W191" s="20"/>
      <c r="X191" s="18"/>
      <c r="Y191" s="18">
        <f>IF(DataTable[[#This Row],[explanation1]]="BL",1,IF(DataTable[[#This Row],[explanation2]]="BL",1,IF(DataTable[[#This Row],[explanation1]]="BR",1,IF(DataTable[[#This Row],[explanation2]]="BR",1,0))))</f>
        <v>0</v>
      </c>
      <c r="Z191" s="18">
        <f>IF(DataTable[[#This Row],[explanation1]]="BL",1,IF(DataTable[[#This Row],[explanation2]]="BL",1,0))</f>
        <v>0</v>
      </c>
      <c r="AA191" s="18">
        <f>IF(DataTable[[#This Row],[explanation1]]="WJ",1,IF(DataTable[[#This Row],[explanation2]]="WJ",1,0))</f>
        <v>0</v>
      </c>
      <c r="AB191" s="18">
        <f>IF(DataTable[[#This Row],[explanation1]]="U",1,IF(DataTable[[#This Row],[explanation2]]="U",1,0))</f>
        <v>0</v>
      </c>
      <c r="AC191" s="18">
        <f>IF(DataTable[[#This Row],[explanation1]]="O",1,IF(DataTable[[#This Row],[explanation2]]="O",1,0))</f>
        <v>0</v>
      </c>
      <c r="AD191" s="18">
        <f>IF(DataTable[[#This Row],[explanation1]]="TP",1,IF(DataTable[[#This Row],[explanation2]]="TP",1,0))</f>
        <v>0</v>
      </c>
      <c r="AE191" s="18">
        <f>IF(DataTable[[#This Row],[explanation1]]="WP",1,IF(DataTable[[#This Row],[explanation2]]="WP",1,0))</f>
        <v>1</v>
      </c>
      <c r="AF191" s="18">
        <f>IF(DataTable[[#This Row],[explanation1]]="BR",1,IF(DataTable[[#This Row],[explanation2]]="BR",1,0))</f>
        <v>0</v>
      </c>
      <c r="AG191" s="18">
        <f>IF(DataTable[[#This Row],[explanation1]]="LS",1,IF(DataTable[[#This Row],[explanation2]]="LS",1,0))</f>
        <v>0</v>
      </c>
      <c r="AH191" s="30" t="s">
        <v>11</v>
      </c>
    </row>
    <row r="192" spans="1:34" x14ac:dyDescent="0.2">
      <c r="A192" s="22">
        <v>190</v>
      </c>
      <c r="B192" s="23" t="s">
        <v>64</v>
      </c>
      <c r="C192" s="24" t="s">
        <v>74</v>
      </c>
      <c r="D192" s="25">
        <v>1</v>
      </c>
      <c r="E192" s="23" t="s">
        <v>58</v>
      </c>
      <c r="F192" s="25">
        <v>23</v>
      </c>
      <c r="G192" s="23" t="s">
        <v>47</v>
      </c>
      <c r="H192" s="24" t="s">
        <v>48</v>
      </c>
      <c r="I192" s="25" t="str">
        <f t="shared" si="2"/>
        <v>R</v>
      </c>
      <c r="J192" s="23" t="s">
        <v>78</v>
      </c>
      <c r="K192" s="25" t="s">
        <v>78</v>
      </c>
      <c r="L192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92" s="24">
        <f>IF(DataTable[[#This Row],[3x head (H)/tail (T)?]]=DataTable[[#This Row],[then 4th: H/T/B/0]],1,0)</f>
        <v>1</v>
      </c>
      <c r="N192" s="24">
        <f>IF(DataTable[[#This Row],[then 4th: H/T/B/0]]="B",1,0)</f>
        <v>0</v>
      </c>
      <c r="O192" s="23" t="s">
        <v>268</v>
      </c>
      <c r="P192" s="24">
        <v>14</v>
      </c>
      <c r="Q192" s="24" t="s">
        <v>411</v>
      </c>
      <c r="R192" s="25" t="s">
        <v>53</v>
      </c>
      <c r="S192" s="27" t="s">
        <v>54</v>
      </c>
      <c r="T192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192" s="28" t="s">
        <v>100</v>
      </c>
      <c r="V192" s="29" t="s">
        <v>8</v>
      </c>
      <c r="W192" s="29"/>
      <c r="X192" s="27" t="s">
        <v>158</v>
      </c>
      <c r="Y192" s="27">
        <f>IF(DataTable[[#This Row],[explanation1]]="BL",1,IF(DataTable[[#This Row],[explanation2]]="BL",1,IF(DataTable[[#This Row],[explanation1]]="BR",1,IF(DataTable[[#This Row],[explanation2]]="BR",1,0))))</f>
        <v>0</v>
      </c>
      <c r="Z192" s="18">
        <f>IF(DataTable[[#This Row],[explanation1]]="BL",1,IF(DataTable[[#This Row],[explanation2]]="BL",1,0))</f>
        <v>0</v>
      </c>
      <c r="AA192" s="18">
        <f>IF(DataTable[[#This Row],[explanation1]]="WJ",1,IF(DataTable[[#This Row],[explanation2]]="WJ",1,0))</f>
        <v>0</v>
      </c>
      <c r="AB192" s="18">
        <f>IF(DataTable[[#This Row],[explanation1]]="U",1,IF(DataTable[[#This Row],[explanation2]]="U",1,0))</f>
        <v>1</v>
      </c>
      <c r="AC192" s="18">
        <f>IF(DataTable[[#This Row],[explanation1]]="O",1,IF(DataTable[[#This Row],[explanation2]]="O",1,0))</f>
        <v>0</v>
      </c>
      <c r="AD192" s="18">
        <f>IF(DataTable[[#This Row],[explanation1]]="TP",1,IF(DataTable[[#This Row],[explanation2]]="TP",1,0))</f>
        <v>0</v>
      </c>
      <c r="AE192" s="18">
        <f>IF(DataTable[[#This Row],[explanation1]]="WP",1,IF(DataTable[[#This Row],[explanation2]]="WP",1,0))</f>
        <v>0</v>
      </c>
      <c r="AF192" s="18">
        <f>IF(DataTable[[#This Row],[explanation1]]="BR",1,IF(DataTable[[#This Row],[explanation2]]="BR",1,0))</f>
        <v>0</v>
      </c>
      <c r="AG192" s="18">
        <f>IF(DataTable[[#This Row],[explanation1]]="LS",1,IF(DataTable[[#This Row],[explanation2]]="LS",1,0))</f>
        <v>0</v>
      </c>
      <c r="AH192" s="37" t="s">
        <v>272</v>
      </c>
    </row>
    <row r="193" spans="1:34" x14ac:dyDescent="0.2">
      <c r="A193" s="13">
        <v>191</v>
      </c>
      <c r="B193" s="14" t="s">
        <v>64</v>
      </c>
      <c r="C193" s="15" t="s">
        <v>45</v>
      </c>
      <c r="D193" s="16">
        <v>1</v>
      </c>
      <c r="E193" s="14" t="s">
        <v>58</v>
      </c>
      <c r="F193" s="16">
        <v>65</v>
      </c>
      <c r="G193" s="14" t="s">
        <v>64</v>
      </c>
      <c r="H193" s="15" t="s">
        <v>48</v>
      </c>
      <c r="I193" s="16" t="str">
        <f t="shared" si="2"/>
        <v>M1</v>
      </c>
      <c r="J193" s="14" t="s">
        <v>49</v>
      </c>
      <c r="K193" s="16" t="s">
        <v>78</v>
      </c>
      <c r="L193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193" s="15">
        <f>IF(DataTable[[#This Row],[3x head (H)/tail (T)?]]=DataTable[[#This Row],[then 4th: H/T/B/0]],1,0)</f>
        <v>0</v>
      </c>
      <c r="N193" s="15">
        <f>IF(DataTable[[#This Row],[then 4th: H/T/B/0]]="B",1,0)</f>
        <v>0</v>
      </c>
      <c r="O193" s="14" t="s">
        <v>268</v>
      </c>
      <c r="P193" s="15">
        <v>14</v>
      </c>
      <c r="Q193" s="15" t="s">
        <v>411</v>
      </c>
      <c r="R193" s="16" t="s">
        <v>53</v>
      </c>
      <c r="S193" s="18" t="s">
        <v>75</v>
      </c>
      <c r="T193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193" s="19" t="s">
        <v>76</v>
      </c>
      <c r="V193" s="20" t="s">
        <v>9</v>
      </c>
      <c r="W193" s="20"/>
      <c r="X193" s="18"/>
      <c r="Y193" s="18">
        <f>IF(DataTable[[#This Row],[explanation1]]="BL",1,IF(DataTable[[#This Row],[explanation2]]="BL",1,IF(DataTable[[#This Row],[explanation1]]="BR",1,IF(DataTable[[#This Row],[explanation2]]="BR",1,0))))</f>
        <v>0</v>
      </c>
      <c r="Z193" s="18">
        <f>IF(DataTable[[#This Row],[explanation1]]="BL",1,IF(DataTable[[#This Row],[explanation2]]="BL",1,0))</f>
        <v>0</v>
      </c>
      <c r="AA193" s="18">
        <f>IF(DataTable[[#This Row],[explanation1]]="WJ",1,IF(DataTable[[#This Row],[explanation2]]="WJ",1,0))</f>
        <v>0</v>
      </c>
      <c r="AB193" s="18">
        <f>IF(DataTable[[#This Row],[explanation1]]="U",1,IF(DataTable[[#This Row],[explanation2]]="U",1,0))</f>
        <v>0</v>
      </c>
      <c r="AC193" s="18">
        <f>IF(DataTable[[#This Row],[explanation1]]="O",1,IF(DataTable[[#This Row],[explanation2]]="O",1,0))</f>
        <v>1</v>
      </c>
      <c r="AD193" s="18">
        <f>IF(DataTable[[#This Row],[explanation1]]="TP",1,IF(DataTable[[#This Row],[explanation2]]="TP",1,0))</f>
        <v>0</v>
      </c>
      <c r="AE193" s="18">
        <f>IF(DataTable[[#This Row],[explanation1]]="WP",1,IF(DataTable[[#This Row],[explanation2]]="WP",1,0))</f>
        <v>0</v>
      </c>
      <c r="AF193" s="18">
        <f>IF(DataTable[[#This Row],[explanation1]]="BR",1,IF(DataTable[[#This Row],[explanation2]]="BR",1,0))</f>
        <v>0</v>
      </c>
      <c r="AG193" s="18">
        <f>IF(DataTable[[#This Row],[explanation1]]="LS",1,IF(DataTable[[#This Row],[explanation2]]="LS",1,0))</f>
        <v>0</v>
      </c>
      <c r="AH193" s="30" t="s">
        <v>273</v>
      </c>
    </row>
    <row r="194" spans="1:34" x14ac:dyDescent="0.2">
      <c r="A194" s="22">
        <v>192</v>
      </c>
      <c r="B194" s="23" t="s">
        <v>64</v>
      </c>
      <c r="C194" s="24" t="s">
        <v>45</v>
      </c>
      <c r="D194" s="25">
        <v>1</v>
      </c>
      <c r="E194" s="23" t="s">
        <v>46</v>
      </c>
      <c r="F194" s="25">
        <v>20</v>
      </c>
      <c r="G194" s="23" t="s">
        <v>47</v>
      </c>
      <c r="H194" s="24" t="s">
        <v>81</v>
      </c>
      <c r="I194" s="25" t="str">
        <f t="shared" si="2"/>
        <v>M1</v>
      </c>
      <c r="J194" s="23" t="s">
        <v>49</v>
      </c>
      <c r="K194" s="25" t="s">
        <v>50</v>
      </c>
      <c r="L194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94" s="24">
        <f>IF(DataTable[[#This Row],[3x head (H)/tail (T)?]]=DataTable[[#This Row],[then 4th: H/T/B/0]],1,0)</f>
        <v>0</v>
      </c>
      <c r="N194" s="24">
        <f>IF(DataTable[[#This Row],[then 4th: H/T/B/0]]="B",1,0)</f>
        <v>1</v>
      </c>
      <c r="O194" s="23" t="s">
        <v>268</v>
      </c>
      <c r="P194" s="24">
        <v>14</v>
      </c>
      <c r="Q194" s="24" t="s">
        <v>411</v>
      </c>
      <c r="R194" s="25" t="s">
        <v>53</v>
      </c>
      <c r="S194" s="27" t="s">
        <v>75</v>
      </c>
      <c r="T194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194" s="28" t="s">
        <v>76</v>
      </c>
      <c r="V194" s="29" t="s">
        <v>11</v>
      </c>
      <c r="W194" s="29"/>
      <c r="X194" s="27"/>
      <c r="Y194" s="27">
        <f>IF(DataTable[[#This Row],[explanation1]]="BL",1,IF(DataTable[[#This Row],[explanation2]]="BL",1,IF(DataTable[[#This Row],[explanation1]]="BR",1,IF(DataTable[[#This Row],[explanation2]]="BR",1,0))))</f>
        <v>0</v>
      </c>
      <c r="Z194" s="18">
        <f>IF(DataTable[[#This Row],[explanation1]]="BL",1,IF(DataTable[[#This Row],[explanation2]]="BL",1,0))</f>
        <v>0</v>
      </c>
      <c r="AA194" s="18">
        <f>IF(DataTable[[#This Row],[explanation1]]="WJ",1,IF(DataTable[[#This Row],[explanation2]]="WJ",1,0))</f>
        <v>0</v>
      </c>
      <c r="AB194" s="18">
        <f>IF(DataTable[[#This Row],[explanation1]]="U",1,IF(DataTable[[#This Row],[explanation2]]="U",1,0))</f>
        <v>0</v>
      </c>
      <c r="AC194" s="18">
        <f>IF(DataTable[[#This Row],[explanation1]]="O",1,IF(DataTable[[#This Row],[explanation2]]="O",1,0))</f>
        <v>0</v>
      </c>
      <c r="AD194" s="18">
        <f>IF(DataTable[[#This Row],[explanation1]]="TP",1,IF(DataTable[[#This Row],[explanation2]]="TP",1,0))</f>
        <v>0</v>
      </c>
      <c r="AE194" s="18">
        <f>IF(DataTable[[#This Row],[explanation1]]="WP",1,IF(DataTable[[#This Row],[explanation2]]="WP",1,0))</f>
        <v>1</v>
      </c>
      <c r="AF194" s="18">
        <f>IF(DataTable[[#This Row],[explanation1]]="BR",1,IF(DataTable[[#This Row],[explanation2]]="BR",1,0))</f>
        <v>0</v>
      </c>
      <c r="AG194" s="18">
        <f>IF(DataTable[[#This Row],[explanation1]]="LS",1,IF(DataTable[[#This Row],[explanation2]]="LS",1,0))</f>
        <v>0</v>
      </c>
      <c r="AH194" s="37" t="s">
        <v>274</v>
      </c>
    </row>
    <row r="195" spans="1:34" x14ac:dyDescent="0.2">
      <c r="A195" s="13">
        <v>193</v>
      </c>
      <c r="B195" s="14" t="s">
        <v>64</v>
      </c>
      <c r="C195" s="15" t="s">
        <v>45</v>
      </c>
      <c r="D195" s="16">
        <v>50</v>
      </c>
      <c r="E195" s="14" t="s">
        <v>58</v>
      </c>
      <c r="F195" s="16">
        <v>20</v>
      </c>
      <c r="G195" s="14" t="s">
        <v>64</v>
      </c>
      <c r="H195" s="15" t="s">
        <v>48</v>
      </c>
      <c r="I195" s="16" t="str">
        <f t="shared" ref="I195:I258" si="3">IF(H195="NIE",G195,IF(G195="R",B195,"R"))</f>
        <v>M1</v>
      </c>
      <c r="J195" s="14" t="s">
        <v>78</v>
      </c>
      <c r="K195" s="16" t="s">
        <v>50</v>
      </c>
      <c r="L195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95" s="15">
        <f>IF(DataTable[[#This Row],[3x head (H)/tail (T)?]]=DataTable[[#This Row],[then 4th: H/T/B/0]],1,0)</f>
        <v>0</v>
      </c>
      <c r="N195" s="15">
        <f>IF(DataTable[[#This Row],[then 4th: H/T/B/0]]="B",1,0)</f>
        <v>1</v>
      </c>
      <c r="O195" s="14" t="s">
        <v>268</v>
      </c>
      <c r="P195" s="15">
        <v>14</v>
      </c>
      <c r="Q195" s="15" t="s">
        <v>411</v>
      </c>
      <c r="R195" s="16" t="s">
        <v>53</v>
      </c>
      <c r="S195" s="18" t="s">
        <v>75</v>
      </c>
      <c r="T195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195" s="19" t="s">
        <v>76</v>
      </c>
      <c r="V195" s="20" t="s">
        <v>9</v>
      </c>
      <c r="W195" s="20"/>
      <c r="X195" s="18"/>
      <c r="Y195" s="18">
        <f>IF(DataTable[[#This Row],[explanation1]]="BL",1,IF(DataTable[[#This Row],[explanation2]]="BL",1,IF(DataTable[[#This Row],[explanation1]]="BR",1,IF(DataTable[[#This Row],[explanation2]]="BR",1,0))))</f>
        <v>0</v>
      </c>
      <c r="Z195" s="18">
        <f>IF(DataTable[[#This Row],[explanation1]]="BL",1,IF(DataTable[[#This Row],[explanation2]]="BL",1,0))</f>
        <v>0</v>
      </c>
      <c r="AA195" s="18">
        <f>IF(DataTable[[#This Row],[explanation1]]="WJ",1,IF(DataTable[[#This Row],[explanation2]]="WJ",1,0))</f>
        <v>0</v>
      </c>
      <c r="AB195" s="18">
        <f>IF(DataTable[[#This Row],[explanation1]]="U",1,IF(DataTable[[#This Row],[explanation2]]="U",1,0))</f>
        <v>0</v>
      </c>
      <c r="AC195" s="18">
        <f>IF(DataTable[[#This Row],[explanation1]]="O",1,IF(DataTable[[#This Row],[explanation2]]="O",1,0))</f>
        <v>1</v>
      </c>
      <c r="AD195" s="18">
        <f>IF(DataTable[[#This Row],[explanation1]]="TP",1,IF(DataTable[[#This Row],[explanation2]]="TP",1,0))</f>
        <v>0</v>
      </c>
      <c r="AE195" s="18">
        <f>IF(DataTable[[#This Row],[explanation1]]="WP",1,IF(DataTable[[#This Row],[explanation2]]="WP",1,0))</f>
        <v>0</v>
      </c>
      <c r="AF195" s="18">
        <f>IF(DataTable[[#This Row],[explanation1]]="BR",1,IF(DataTable[[#This Row],[explanation2]]="BR",1,0))</f>
        <v>0</v>
      </c>
      <c r="AG195" s="18">
        <f>IF(DataTable[[#This Row],[explanation1]]="LS",1,IF(DataTable[[#This Row],[explanation2]]="LS",1,0))</f>
        <v>0</v>
      </c>
      <c r="AH195" s="30" t="s">
        <v>275</v>
      </c>
    </row>
    <row r="196" spans="1:34" x14ac:dyDescent="0.2">
      <c r="A196" s="22">
        <v>194</v>
      </c>
      <c r="B196" s="23" t="s">
        <v>68</v>
      </c>
      <c r="C196" s="24" t="s">
        <v>74</v>
      </c>
      <c r="D196" s="25">
        <v>50</v>
      </c>
      <c r="E196" s="23" t="s">
        <v>46</v>
      </c>
      <c r="F196" s="25">
        <v>29</v>
      </c>
      <c r="G196" s="23" t="s">
        <v>68</v>
      </c>
      <c r="H196" s="24" t="s">
        <v>81</v>
      </c>
      <c r="I196" s="25" t="str">
        <f t="shared" si="3"/>
        <v>R</v>
      </c>
      <c r="J196" s="23" t="s">
        <v>49</v>
      </c>
      <c r="K196" s="25" t="s">
        <v>78</v>
      </c>
      <c r="L196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196" s="24">
        <f>IF(DataTable[[#This Row],[3x head (H)/tail (T)?]]=DataTable[[#This Row],[then 4th: H/T/B/0]],1,0)</f>
        <v>0</v>
      </c>
      <c r="N196" s="24">
        <f>IF(DataTable[[#This Row],[then 4th: H/T/B/0]]="B",1,0)</f>
        <v>0</v>
      </c>
      <c r="O196" s="23" t="s">
        <v>268</v>
      </c>
      <c r="P196" s="24">
        <v>14</v>
      </c>
      <c r="Q196" s="24" t="s">
        <v>411</v>
      </c>
      <c r="R196" s="25" t="s">
        <v>53</v>
      </c>
      <c r="S196" s="27" t="s">
        <v>54</v>
      </c>
      <c r="T196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196" s="28" t="s">
        <v>116</v>
      </c>
      <c r="V196" s="29" t="s">
        <v>9</v>
      </c>
      <c r="W196" s="29"/>
      <c r="X196" s="27"/>
      <c r="Y196" s="27">
        <f>IF(DataTable[[#This Row],[explanation1]]="BL",1,IF(DataTable[[#This Row],[explanation2]]="BL",1,IF(DataTable[[#This Row],[explanation1]]="BR",1,IF(DataTable[[#This Row],[explanation2]]="BR",1,0))))</f>
        <v>0</v>
      </c>
      <c r="Z196" s="18">
        <f>IF(DataTable[[#This Row],[explanation1]]="BL",1,IF(DataTable[[#This Row],[explanation2]]="BL",1,0))</f>
        <v>0</v>
      </c>
      <c r="AA196" s="18">
        <f>IF(DataTable[[#This Row],[explanation1]]="WJ",1,IF(DataTable[[#This Row],[explanation2]]="WJ",1,0))</f>
        <v>0</v>
      </c>
      <c r="AB196" s="18">
        <f>IF(DataTable[[#This Row],[explanation1]]="U",1,IF(DataTable[[#This Row],[explanation2]]="U",1,0))</f>
        <v>0</v>
      </c>
      <c r="AC196" s="18">
        <f>IF(DataTable[[#This Row],[explanation1]]="O",1,IF(DataTable[[#This Row],[explanation2]]="O",1,0))</f>
        <v>1</v>
      </c>
      <c r="AD196" s="18">
        <f>IF(DataTable[[#This Row],[explanation1]]="TP",1,IF(DataTable[[#This Row],[explanation2]]="TP",1,0))</f>
        <v>0</v>
      </c>
      <c r="AE196" s="18">
        <f>IF(DataTable[[#This Row],[explanation1]]="WP",1,IF(DataTable[[#This Row],[explanation2]]="WP",1,0))</f>
        <v>0</v>
      </c>
      <c r="AF196" s="18">
        <f>IF(DataTable[[#This Row],[explanation1]]="BR",1,IF(DataTable[[#This Row],[explanation2]]="BR",1,0))</f>
        <v>0</v>
      </c>
      <c r="AG196" s="18">
        <f>IF(DataTable[[#This Row],[explanation1]]="LS",1,IF(DataTable[[#This Row],[explanation2]]="LS",1,0))</f>
        <v>0</v>
      </c>
      <c r="AH196" s="37" t="s">
        <v>276</v>
      </c>
    </row>
    <row r="197" spans="1:34" x14ac:dyDescent="0.2">
      <c r="A197" s="13">
        <v>195</v>
      </c>
      <c r="B197" s="14" t="s">
        <v>57</v>
      </c>
      <c r="C197" s="15" t="s">
        <v>45</v>
      </c>
      <c r="D197" s="16">
        <v>1</v>
      </c>
      <c r="E197" s="14" t="s">
        <v>58</v>
      </c>
      <c r="F197" s="16">
        <v>56</v>
      </c>
      <c r="G197" s="14" t="s">
        <v>47</v>
      </c>
      <c r="H197" s="15" t="s">
        <v>48</v>
      </c>
      <c r="I197" s="16" t="str">
        <f t="shared" si="3"/>
        <v>R</v>
      </c>
      <c r="J197" s="14" t="s">
        <v>78</v>
      </c>
      <c r="K197" s="16" t="s">
        <v>78</v>
      </c>
      <c r="L197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97" s="15">
        <f>IF(DataTable[[#This Row],[3x head (H)/tail (T)?]]=DataTable[[#This Row],[then 4th: H/T/B/0]],1,0)</f>
        <v>1</v>
      </c>
      <c r="N197" s="15">
        <f>IF(DataTable[[#This Row],[then 4th: H/T/B/0]]="B",1,0)</f>
        <v>0</v>
      </c>
      <c r="O197" s="14" t="s">
        <v>277</v>
      </c>
      <c r="P197" s="15">
        <v>21</v>
      </c>
      <c r="Q197" s="17" t="s">
        <v>118</v>
      </c>
      <c r="R197" s="16" t="s">
        <v>53</v>
      </c>
      <c r="S197" s="18" t="s">
        <v>61</v>
      </c>
      <c r="T197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4</v>
      </c>
      <c r="U197" s="19" t="s">
        <v>122</v>
      </c>
      <c r="V197" s="20" t="s">
        <v>6</v>
      </c>
      <c r="W197" s="20"/>
      <c r="X197" s="18"/>
      <c r="Y197" s="18">
        <f>IF(DataTable[[#This Row],[explanation1]]="BL",1,IF(DataTable[[#This Row],[explanation2]]="BL",1,IF(DataTable[[#This Row],[explanation1]]="BR",1,IF(DataTable[[#This Row],[explanation2]]="BR",1,0))))</f>
        <v>1</v>
      </c>
      <c r="Z197" s="18">
        <f>IF(DataTable[[#This Row],[explanation1]]="BL",1,IF(DataTable[[#This Row],[explanation2]]="BL",1,0))</f>
        <v>1</v>
      </c>
      <c r="AA197" s="18">
        <f>IF(DataTable[[#This Row],[explanation1]]="WJ",1,IF(DataTable[[#This Row],[explanation2]]="WJ",1,0))</f>
        <v>0</v>
      </c>
      <c r="AB197" s="18">
        <f>IF(DataTable[[#This Row],[explanation1]]="U",1,IF(DataTable[[#This Row],[explanation2]]="U",1,0))</f>
        <v>0</v>
      </c>
      <c r="AC197" s="18">
        <f>IF(DataTable[[#This Row],[explanation1]]="O",1,IF(DataTable[[#This Row],[explanation2]]="O",1,0))</f>
        <v>0</v>
      </c>
      <c r="AD197" s="18">
        <f>IF(DataTable[[#This Row],[explanation1]]="TP",1,IF(DataTable[[#This Row],[explanation2]]="TP",1,0))</f>
        <v>0</v>
      </c>
      <c r="AE197" s="18">
        <f>IF(DataTable[[#This Row],[explanation1]]="WP",1,IF(DataTable[[#This Row],[explanation2]]="WP",1,0))</f>
        <v>0</v>
      </c>
      <c r="AF197" s="18">
        <f>IF(DataTable[[#This Row],[explanation1]]="BR",1,IF(DataTable[[#This Row],[explanation2]]="BR",1,0))</f>
        <v>0</v>
      </c>
      <c r="AG197" s="18">
        <f>IF(DataTable[[#This Row],[explanation1]]="LS",1,IF(DataTable[[#This Row],[explanation2]]="LS",1,0))</f>
        <v>0</v>
      </c>
      <c r="AH197" s="30" t="s">
        <v>278</v>
      </c>
    </row>
    <row r="198" spans="1:34" x14ac:dyDescent="0.2">
      <c r="A198" s="22">
        <v>196</v>
      </c>
      <c r="B198" s="23" t="s">
        <v>57</v>
      </c>
      <c r="C198" s="24" t="s">
        <v>45</v>
      </c>
      <c r="D198" s="25">
        <v>1</v>
      </c>
      <c r="E198" s="23" t="s">
        <v>46</v>
      </c>
      <c r="F198" s="25">
        <v>56</v>
      </c>
      <c r="G198" s="23" t="s">
        <v>57</v>
      </c>
      <c r="H198" s="24" t="s">
        <v>48</v>
      </c>
      <c r="I198" s="25" t="str">
        <f t="shared" si="3"/>
        <v>H1</v>
      </c>
      <c r="J198" s="23" t="s">
        <v>49</v>
      </c>
      <c r="K198" s="25" t="s">
        <v>78</v>
      </c>
      <c r="L198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198" s="24">
        <f>IF(DataTable[[#This Row],[3x head (H)/tail (T)?]]=DataTable[[#This Row],[then 4th: H/T/B/0]],1,0)</f>
        <v>0</v>
      </c>
      <c r="N198" s="24">
        <f>IF(DataTable[[#This Row],[then 4th: H/T/B/0]]="B",1,0)</f>
        <v>0</v>
      </c>
      <c r="O198" s="23" t="s">
        <v>277</v>
      </c>
      <c r="P198" s="24">
        <v>21</v>
      </c>
      <c r="Q198" s="26" t="s">
        <v>118</v>
      </c>
      <c r="R198" s="25" t="s">
        <v>53</v>
      </c>
      <c r="S198" s="27" t="s">
        <v>75</v>
      </c>
      <c r="T198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198" s="28" t="s">
        <v>76</v>
      </c>
      <c r="V198" s="29" t="s">
        <v>9</v>
      </c>
      <c r="W198" s="29" t="s">
        <v>10</v>
      </c>
      <c r="X198" s="27"/>
      <c r="Y198" s="27">
        <f>IF(DataTable[[#This Row],[explanation1]]="BL",1,IF(DataTable[[#This Row],[explanation2]]="BL",1,IF(DataTable[[#This Row],[explanation1]]="BR",1,IF(DataTable[[#This Row],[explanation2]]="BR",1,0))))</f>
        <v>0</v>
      </c>
      <c r="Z198" s="18">
        <f>IF(DataTable[[#This Row],[explanation1]]="BL",1,IF(DataTable[[#This Row],[explanation2]]="BL",1,0))</f>
        <v>0</v>
      </c>
      <c r="AA198" s="18">
        <f>IF(DataTable[[#This Row],[explanation1]]="WJ",1,IF(DataTable[[#This Row],[explanation2]]="WJ",1,0))</f>
        <v>0</v>
      </c>
      <c r="AB198" s="18">
        <f>IF(DataTable[[#This Row],[explanation1]]="U",1,IF(DataTable[[#This Row],[explanation2]]="U",1,0))</f>
        <v>0</v>
      </c>
      <c r="AC198" s="18">
        <f>IF(DataTable[[#This Row],[explanation1]]="O",1,IF(DataTable[[#This Row],[explanation2]]="O",1,0))</f>
        <v>1</v>
      </c>
      <c r="AD198" s="18">
        <f>IF(DataTable[[#This Row],[explanation1]]="TP",1,IF(DataTable[[#This Row],[explanation2]]="TP",1,0))</f>
        <v>1</v>
      </c>
      <c r="AE198" s="18">
        <f>IF(DataTable[[#This Row],[explanation1]]="WP",1,IF(DataTable[[#This Row],[explanation2]]="WP",1,0))</f>
        <v>0</v>
      </c>
      <c r="AF198" s="18">
        <f>IF(DataTable[[#This Row],[explanation1]]="BR",1,IF(DataTable[[#This Row],[explanation2]]="BR",1,0))</f>
        <v>0</v>
      </c>
      <c r="AG198" s="18">
        <f>IF(DataTable[[#This Row],[explanation1]]="LS",1,IF(DataTable[[#This Row],[explanation2]]="LS",1,0))</f>
        <v>0</v>
      </c>
      <c r="AH198" s="37" t="s">
        <v>279</v>
      </c>
    </row>
    <row r="199" spans="1:34" x14ac:dyDescent="0.2">
      <c r="A199" s="13">
        <v>197</v>
      </c>
      <c r="B199" s="14" t="s">
        <v>57</v>
      </c>
      <c r="C199" s="15" t="s">
        <v>45</v>
      </c>
      <c r="D199" s="16">
        <v>50</v>
      </c>
      <c r="E199" s="14" t="s">
        <v>46</v>
      </c>
      <c r="F199" s="16">
        <v>17</v>
      </c>
      <c r="G199" s="14" t="s">
        <v>47</v>
      </c>
      <c r="H199" s="15" t="s">
        <v>81</v>
      </c>
      <c r="I199" s="16" t="str">
        <f t="shared" si="3"/>
        <v>H1</v>
      </c>
      <c r="J199" s="14" t="s">
        <v>49</v>
      </c>
      <c r="K199" s="16" t="s">
        <v>50</v>
      </c>
      <c r="L199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199" s="15">
        <f>IF(DataTable[[#This Row],[3x head (H)/tail (T)?]]=DataTable[[#This Row],[then 4th: H/T/B/0]],1,0)</f>
        <v>0</v>
      </c>
      <c r="N199" s="15">
        <f>IF(DataTable[[#This Row],[then 4th: H/T/B/0]]="B",1,0)</f>
        <v>1</v>
      </c>
      <c r="O199" s="14" t="s">
        <v>277</v>
      </c>
      <c r="P199" s="15">
        <v>21</v>
      </c>
      <c r="Q199" s="17" t="s">
        <v>118</v>
      </c>
      <c r="R199" s="16" t="s">
        <v>53</v>
      </c>
      <c r="S199" s="18" t="s">
        <v>75</v>
      </c>
      <c r="T199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199" s="19" t="s">
        <v>76</v>
      </c>
      <c r="V199" s="20" t="s">
        <v>11</v>
      </c>
      <c r="W199" s="20" t="s">
        <v>10</v>
      </c>
      <c r="X199" s="18"/>
      <c r="Y199" s="18">
        <f>IF(DataTable[[#This Row],[explanation1]]="BL",1,IF(DataTable[[#This Row],[explanation2]]="BL",1,IF(DataTable[[#This Row],[explanation1]]="BR",1,IF(DataTable[[#This Row],[explanation2]]="BR",1,0))))</f>
        <v>0</v>
      </c>
      <c r="Z199" s="18">
        <f>IF(DataTable[[#This Row],[explanation1]]="BL",1,IF(DataTable[[#This Row],[explanation2]]="BL",1,0))</f>
        <v>0</v>
      </c>
      <c r="AA199" s="18">
        <f>IF(DataTable[[#This Row],[explanation1]]="WJ",1,IF(DataTable[[#This Row],[explanation2]]="WJ",1,0))</f>
        <v>0</v>
      </c>
      <c r="AB199" s="18">
        <f>IF(DataTable[[#This Row],[explanation1]]="U",1,IF(DataTable[[#This Row],[explanation2]]="U",1,0))</f>
        <v>0</v>
      </c>
      <c r="AC199" s="18">
        <f>IF(DataTable[[#This Row],[explanation1]]="O",1,IF(DataTable[[#This Row],[explanation2]]="O",1,0))</f>
        <v>0</v>
      </c>
      <c r="AD199" s="18">
        <f>IF(DataTable[[#This Row],[explanation1]]="TP",1,IF(DataTable[[#This Row],[explanation2]]="TP",1,0))</f>
        <v>1</v>
      </c>
      <c r="AE199" s="18">
        <f>IF(DataTable[[#This Row],[explanation1]]="WP",1,IF(DataTable[[#This Row],[explanation2]]="WP",1,0))</f>
        <v>1</v>
      </c>
      <c r="AF199" s="18">
        <f>IF(DataTable[[#This Row],[explanation1]]="BR",1,IF(DataTable[[#This Row],[explanation2]]="BR",1,0))</f>
        <v>0</v>
      </c>
      <c r="AG199" s="18">
        <f>IF(DataTable[[#This Row],[explanation1]]="LS",1,IF(DataTable[[#This Row],[explanation2]]="LS",1,0))</f>
        <v>0</v>
      </c>
      <c r="AH199" s="30" t="s">
        <v>280</v>
      </c>
    </row>
    <row r="200" spans="1:34" x14ac:dyDescent="0.2">
      <c r="A200" s="22">
        <v>198</v>
      </c>
      <c r="B200" s="23" t="s">
        <v>68</v>
      </c>
      <c r="C200" s="24" t="s">
        <v>45</v>
      </c>
      <c r="D200" s="25">
        <v>1</v>
      </c>
      <c r="E200" s="23" t="s">
        <v>58</v>
      </c>
      <c r="F200" s="25">
        <v>31</v>
      </c>
      <c r="G200" s="23" t="s">
        <v>47</v>
      </c>
      <c r="H200" s="24" t="s">
        <v>48</v>
      </c>
      <c r="I200" s="25" t="str">
        <f t="shared" si="3"/>
        <v>R</v>
      </c>
      <c r="J200" s="23" t="s">
        <v>49</v>
      </c>
      <c r="K200" s="25" t="s">
        <v>78</v>
      </c>
      <c r="L200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200" s="24">
        <f>IF(DataTable[[#This Row],[3x head (H)/tail (T)?]]=DataTable[[#This Row],[then 4th: H/T/B/0]],1,0)</f>
        <v>0</v>
      </c>
      <c r="N200" s="24">
        <f>IF(DataTable[[#This Row],[then 4th: H/T/B/0]]="B",1,0)</f>
        <v>0</v>
      </c>
      <c r="O200" s="23" t="s">
        <v>277</v>
      </c>
      <c r="P200" s="24">
        <v>21</v>
      </c>
      <c r="Q200" s="26" t="s">
        <v>118</v>
      </c>
      <c r="R200" s="25" t="s">
        <v>53</v>
      </c>
      <c r="S200" s="27" t="s">
        <v>75</v>
      </c>
      <c r="T200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200" s="28" t="s">
        <v>76</v>
      </c>
      <c r="V200" s="29" t="s">
        <v>9</v>
      </c>
      <c r="W200" s="29"/>
      <c r="X200" s="27"/>
      <c r="Y200" s="27">
        <f>IF(DataTable[[#This Row],[explanation1]]="BL",1,IF(DataTable[[#This Row],[explanation2]]="BL",1,IF(DataTable[[#This Row],[explanation1]]="BR",1,IF(DataTable[[#This Row],[explanation2]]="BR",1,0))))</f>
        <v>0</v>
      </c>
      <c r="Z200" s="18">
        <f>IF(DataTable[[#This Row],[explanation1]]="BL",1,IF(DataTable[[#This Row],[explanation2]]="BL",1,0))</f>
        <v>0</v>
      </c>
      <c r="AA200" s="18">
        <f>IF(DataTable[[#This Row],[explanation1]]="WJ",1,IF(DataTable[[#This Row],[explanation2]]="WJ",1,0))</f>
        <v>0</v>
      </c>
      <c r="AB200" s="18">
        <f>IF(DataTable[[#This Row],[explanation1]]="U",1,IF(DataTable[[#This Row],[explanation2]]="U",1,0))</f>
        <v>0</v>
      </c>
      <c r="AC200" s="18">
        <f>IF(DataTable[[#This Row],[explanation1]]="O",1,IF(DataTable[[#This Row],[explanation2]]="O",1,0))</f>
        <v>1</v>
      </c>
      <c r="AD200" s="18">
        <f>IF(DataTable[[#This Row],[explanation1]]="TP",1,IF(DataTable[[#This Row],[explanation2]]="TP",1,0))</f>
        <v>0</v>
      </c>
      <c r="AE200" s="18">
        <f>IF(DataTable[[#This Row],[explanation1]]="WP",1,IF(DataTable[[#This Row],[explanation2]]="WP",1,0))</f>
        <v>0</v>
      </c>
      <c r="AF200" s="18">
        <f>IF(DataTable[[#This Row],[explanation1]]="BR",1,IF(DataTable[[#This Row],[explanation2]]="BR",1,0))</f>
        <v>0</v>
      </c>
      <c r="AG200" s="18">
        <f>IF(DataTable[[#This Row],[explanation1]]="LS",1,IF(DataTable[[#This Row],[explanation2]]="LS",1,0))</f>
        <v>0</v>
      </c>
      <c r="AH200" s="37" t="s">
        <v>281</v>
      </c>
    </row>
    <row r="201" spans="1:34" x14ac:dyDescent="0.2">
      <c r="A201" s="13">
        <v>199</v>
      </c>
      <c r="B201" s="14" t="s">
        <v>68</v>
      </c>
      <c r="C201" s="15" t="s">
        <v>45</v>
      </c>
      <c r="D201" s="16">
        <v>50</v>
      </c>
      <c r="E201" s="14" t="s">
        <v>58</v>
      </c>
      <c r="F201" s="16">
        <v>25</v>
      </c>
      <c r="G201" s="14" t="s">
        <v>47</v>
      </c>
      <c r="H201" s="15" t="s">
        <v>81</v>
      </c>
      <c r="I201" s="16" t="str">
        <f t="shared" si="3"/>
        <v>H5</v>
      </c>
      <c r="J201" s="14" t="s">
        <v>78</v>
      </c>
      <c r="K201" s="16" t="s">
        <v>50</v>
      </c>
      <c r="L201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01" s="15">
        <f>IF(DataTable[[#This Row],[3x head (H)/tail (T)?]]=DataTable[[#This Row],[then 4th: H/T/B/0]],1,0)</f>
        <v>0</v>
      </c>
      <c r="N201" s="15">
        <f>IF(DataTable[[#This Row],[then 4th: H/T/B/0]]="B",1,0)</f>
        <v>1</v>
      </c>
      <c r="O201" s="14" t="s">
        <v>277</v>
      </c>
      <c r="P201" s="15">
        <v>21</v>
      </c>
      <c r="Q201" s="17" t="s">
        <v>118</v>
      </c>
      <c r="R201" s="16" t="s">
        <v>53</v>
      </c>
      <c r="S201" s="18" t="s">
        <v>75</v>
      </c>
      <c r="T201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201" s="19" t="s">
        <v>76</v>
      </c>
      <c r="V201" s="20" t="s">
        <v>9</v>
      </c>
      <c r="W201" s="20" t="s">
        <v>8</v>
      </c>
      <c r="X201" s="18" t="s">
        <v>204</v>
      </c>
      <c r="Y201" s="18">
        <f>IF(DataTable[[#This Row],[explanation1]]="BL",1,IF(DataTable[[#This Row],[explanation2]]="BL",1,IF(DataTable[[#This Row],[explanation1]]="BR",1,IF(DataTable[[#This Row],[explanation2]]="BR",1,0))))</f>
        <v>0</v>
      </c>
      <c r="Z201" s="18">
        <f>IF(DataTable[[#This Row],[explanation1]]="BL",1,IF(DataTable[[#This Row],[explanation2]]="BL",1,0))</f>
        <v>0</v>
      </c>
      <c r="AA201" s="18">
        <f>IF(DataTable[[#This Row],[explanation1]]="WJ",1,IF(DataTable[[#This Row],[explanation2]]="WJ",1,0))</f>
        <v>0</v>
      </c>
      <c r="AB201" s="18">
        <f>IF(DataTable[[#This Row],[explanation1]]="U",1,IF(DataTable[[#This Row],[explanation2]]="U",1,0))</f>
        <v>1</v>
      </c>
      <c r="AC201" s="18">
        <f>IF(DataTable[[#This Row],[explanation1]]="O",1,IF(DataTable[[#This Row],[explanation2]]="O",1,0))</f>
        <v>1</v>
      </c>
      <c r="AD201" s="18">
        <f>IF(DataTable[[#This Row],[explanation1]]="TP",1,IF(DataTable[[#This Row],[explanation2]]="TP",1,0))</f>
        <v>0</v>
      </c>
      <c r="AE201" s="18">
        <f>IF(DataTable[[#This Row],[explanation1]]="WP",1,IF(DataTable[[#This Row],[explanation2]]="WP",1,0))</f>
        <v>0</v>
      </c>
      <c r="AF201" s="18">
        <f>IF(DataTable[[#This Row],[explanation1]]="BR",1,IF(DataTable[[#This Row],[explanation2]]="BR",1,0))</f>
        <v>0</v>
      </c>
      <c r="AG201" s="18">
        <f>IF(DataTable[[#This Row],[explanation1]]="LS",1,IF(DataTable[[#This Row],[explanation2]]="LS",1,0))</f>
        <v>0</v>
      </c>
      <c r="AH201" s="30" t="s">
        <v>282</v>
      </c>
    </row>
    <row r="202" spans="1:34" x14ac:dyDescent="0.2">
      <c r="A202" s="22">
        <v>200</v>
      </c>
      <c r="B202" s="23" t="s">
        <v>68</v>
      </c>
      <c r="C202" s="24" t="s">
        <v>45</v>
      </c>
      <c r="D202" s="25">
        <v>50</v>
      </c>
      <c r="E202" s="23" t="s">
        <v>58</v>
      </c>
      <c r="F202" s="25">
        <v>43</v>
      </c>
      <c r="G202" s="23" t="s">
        <v>47</v>
      </c>
      <c r="H202" s="24" t="s">
        <v>48</v>
      </c>
      <c r="I202" s="25" t="str">
        <f t="shared" si="3"/>
        <v>R</v>
      </c>
      <c r="J202" s="23" t="s">
        <v>78</v>
      </c>
      <c r="K202" s="25" t="s">
        <v>49</v>
      </c>
      <c r="L202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202" s="24">
        <f>IF(DataTable[[#This Row],[3x head (H)/tail (T)?]]=DataTable[[#This Row],[then 4th: H/T/B/0]],1,0)</f>
        <v>0</v>
      </c>
      <c r="N202" s="24">
        <f>IF(DataTable[[#This Row],[then 4th: H/T/B/0]]="B",1,0)</f>
        <v>0</v>
      </c>
      <c r="O202" s="23" t="s">
        <v>277</v>
      </c>
      <c r="P202" s="24">
        <v>21</v>
      </c>
      <c r="Q202" s="26" t="s">
        <v>118</v>
      </c>
      <c r="R202" s="25" t="s">
        <v>53</v>
      </c>
      <c r="S202" s="27" t="s">
        <v>54</v>
      </c>
      <c r="T202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202" s="28" t="s">
        <v>100</v>
      </c>
      <c r="V202" s="29" t="s">
        <v>9</v>
      </c>
      <c r="W202" s="29"/>
      <c r="X202" s="27"/>
      <c r="Y202" s="27">
        <f>IF(DataTable[[#This Row],[explanation1]]="BL",1,IF(DataTable[[#This Row],[explanation2]]="BL",1,IF(DataTable[[#This Row],[explanation1]]="BR",1,IF(DataTable[[#This Row],[explanation2]]="BR",1,0))))</f>
        <v>0</v>
      </c>
      <c r="Z202" s="18">
        <f>IF(DataTable[[#This Row],[explanation1]]="BL",1,IF(DataTable[[#This Row],[explanation2]]="BL",1,0))</f>
        <v>0</v>
      </c>
      <c r="AA202" s="18">
        <f>IF(DataTable[[#This Row],[explanation1]]="WJ",1,IF(DataTable[[#This Row],[explanation2]]="WJ",1,0))</f>
        <v>0</v>
      </c>
      <c r="AB202" s="18">
        <f>IF(DataTable[[#This Row],[explanation1]]="U",1,IF(DataTable[[#This Row],[explanation2]]="U",1,0))</f>
        <v>0</v>
      </c>
      <c r="AC202" s="18">
        <f>IF(DataTable[[#This Row],[explanation1]]="O",1,IF(DataTable[[#This Row],[explanation2]]="O",1,0))</f>
        <v>1</v>
      </c>
      <c r="AD202" s="18">
        <f>IF(DataTable[[#This Row],[explanation1]]="TP",1,IF(DataTable[[#This Row],[explanation2]]="TP",1,0))</f>
        <v>0</v>
      </c>
      <c r="AE202" s="18">
        <f>IF(DataTable[[#This Row],[explanation1]]="WP",1,IF(DataTable[[#This Row],[explanation2]]="WP",1,0))</f>
        <v>0</v>
      </c>
      <c r="AF202" s="18">
        <f>IF(DataTable[[#This Row],[explanation1]]="BR",1,IF(DataTable[[#This Row],[explanation2]]="BR",1,0))</f>
        <v>0</v>
      </c>
      <c r="AG202" s="18">
        <f>IF(DataTable[[#This Row],[explanation1]]="LS",1,IF(DataTable[[#This Row],[explanation2]]="LS",1,0))</f>
        <v>0</v>
      </c>
      <c r="AH202" s="37" t="s">
        <v>283</v>
      </c>
    </row>
    <row r="203" spans="1:34" x14ac:dyDescent="0.2">
      <c r="A203" s="13">
        <v>201</v>
      </c>
      <c r="B203" s="14" t="s">
        <v>44</v>
      </c>
      <c r="C203" s="15" t="s">
        <v>45</v>
      </c>
      <c r="D203" s="16">
        <v>1</v>
      </c>
      <c r="E203" s="14" t="s">
        <v>58</v>
      </c>
      <c r="F203" s="16">
        <v>38</v>
      </c>
      <c r="G203" s="14" t="s">
        <v>47</v>
      </c>
      <c r="H203" s="15" t="s">
        <v>48</v>
      </c>
      <c r="I203" s="16" t="str">
        <f t="shared" si="3"/>
        <v>R</v>
      </c>
      <c r="J203" s="14" t="s">
        <v>49</v>
      </c>
      <c r="K203" s="16" t="s">
        <v>50</v>
      </c>
      <c r="L203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03" s="15">
        <f>IF(DataTable[[#This Row],[3x head (H)/tail (T)?]]=DataTable[[#This Row],[then 4th: H/T/B/0]],1,0)</f>
        <v>0</v>
      </c>
      <c r="N203" s="15">
        <f>IF(DataTable[[#This Row],[then 4th: H/T/B/0]]="B",1,0)</f>
        <v>1</v>
      </c>
      <c r="O203" s="14" t="s">
        <v>277</v>
      </c>
      <c r="P203" s="15">
        <v>21</v>
      </c>
      <c r="Q203" s="17" t="s">
        <v>118</v>
      </c>
      <c r="R203" s="16" t="s">
        <v>53</v>
      </c>
      <c r="S203" s="18" t="s">
        <v>65</v>
      </c>
      <c r="T203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203" s="19" t="s">
        <v>95</v>
      </c>
      <c r="V203" s="20" t="s">
        <v>11</v>
      </c>
      <c r="W203" s="20"/>
      <c r="X203" s="18"/>
      <c r="Y203" s="18">
        <f>IF(DataTable[[#This Row],[explanation1]]="BL",1,IF(DataTable[[#This Row],[explanation2]]="BL",1,IF(DataTable[[#This Row],[explanation1]]="BR",1,IF(DataTable[[#This Row],[explanation2]]="BR",1,0))))</f>
        <v>0</v>
      </c>
      <c r="Z203" s="18">
        <f>IF(DataTable[[#This Row],[explanation1]]="BL",1,IF(DataTable[[#This Row],[explanation2]]="BL",1,0))</f>
        <v>0</v>
      </c>
      <c r="AA203" s="18">
        <f>IF(DataTable[[#This Row],[explanation1]]="WJ",1,IF(DataTable[[#This Row],[explanation2]]="WJ",1,0))</f>
        <v>0</v>
      </c>
      <c r="AB203" s="18">
        <f>IF(DataTable[[#This Row],[explanation1]]="U",1,IF(DataTable[[#This Row],[explanation2]]="U",1,0))</f>
        <v>0</v>
      </c>
      <c r="AC203" s="18">
        <f>IF(DataTable[[#This Row],[explanation1]]="O",1,IF(DataTable[[#This Row],[explanation2]]="O",1,0))</f>
        <v>0</v>
      </c>
      <c r="AD203" s="18">
        <f>IF(DataTable[[#This Row],[explanation1]]="TP",1,IF(DataTable[[#This Row],[explanation2]]="TP",1,0))</f>
        <v>0</v>
      </c>
      <c r="AE203" s="18">
        <f>IF(DataTable[[#This Row],[explanation1]]="WP",1,IF(DataTable[[#This Row],[explanation2]]="WP",1,0))</f>
        <v>1</v>
      </c>
      <c r="AF203" s="18">
        <f>IF(DataTable[[#This Row],[explanation1]]="BR",1,IF(DataTable[[#This Row],[explanation2]]="BR",1,0))</f>
        <v>0</v>
      </c>
      <c r="AG203" s="18">
        <f>IF(DataTable[[#This Row],[explanation1]]="LS",1,IF(DataTable[[#This Row],[explanation2]]="LS",1,0))</f>
        <v>0</v>
      </c>
      <c r="AH203" s="30" t="s">
        <v>284</v>
      </c>
    </row>
    <row r="204" spans="1:34" x14ac:dyDescent="0.2">
      <c r="A204" s="22">
        <v>202</v>
      </c>
      <c r="B204" s="23" t="s">
        <v>44</v>
      </c>
      <c r="C204" s="24" t="s">
        <v>45</v>
      </c>
      <c r="D204" s="25">
        <v>50</v>
      </c>
      <c r="E204" s="23" t="s">
        <v>58</v>
      </c>
      <c r="F204" s="25">
        <v>26</v>
      </c>
      <c r="G204" s="23" t="s">
        <v>47</v>
      </c>
      <c r="H204" s="24" t="s">
        <v>48</v>
      </c>
      <c r="I204" s="25" t="str">
        <f t="shared" si="3"/>
        <v>R</v>
      </c>
      <c r="J204" s="23" t="s">
        <v>49</v>
      </c>
      <c r="K204" s="25" t="s">
        <v>78</v>
      </c>
      <c r="L204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204" s="24">
        <f>IF(DataTable[[#This Row],[3x head (H)/tail (T)?]]=DataTable[[#This Row],[then 4th: H/T/B/0]],1,0)</f>
        <v>0</v>
      </c>
      <c r="N204" s="24">
        <f>IF(DataTable[[#This Row],[then 4th: H/T/B/0]]="B",1,0)</f>
        <v>0</v>
      </c>
      <c r="O204" s="23" t="s">
        <v>277</v>
      </c>
      <c r="P204" s="24">
        <v>21</v>
      </c>
      <c r="Q204" s="26" t="s">
        <v>118</v>
      </c>
      <c r="R204" s="25" t="s">
        <v>53</v>
      </c>
      <c r="S204" s="27" t="s">
        <v>75</v>
      </c>
      <c r="T204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204" s="28" t="s">
        <v>76</v>
      </c>
      <c r="V204" s="29" t="s">
        <v>11</v>
      </c>
      <c r="W204" s="29"/>
      <c r="X204" s="27"/>
      <c r="Y204" s="27">
        <f>IF(DataTable[[#This Row],[explanation1]]="BL",1,IF(DataTable[[#This Row],[explanation2]]="BL",1,IF(DataTable[[#This Row],[explanation1]]="BR",1,IF(DataTable[[#This Row],[explanation2]]="BR",1,0))))</f>
        <v>0</v>
      </c>
      <c r="Z204" s="18">
        <f>IF(DataTable[[#This Row],[explanation1]]="BL",1,IF(DataTable[[#This Row],[explanation2]]="BL",1,0))</f>
        <v>0</v>
      </c>
      <c r="AA204" s="18">
        <f>IF(DataTable[[#This Row],[explanation1]]="WJ",1,IF(DataTable[[#This Row],[explanation2]]="WJ",1,0))</f>
        <v>0</v>
      </c>
      <c r="AB204" s="18">
        <f>IF(DataTable[[#This Row],[explanation1]]="U",1,IF(DataTable[[#This Row],[explanation2]]="U",1,0))</f>
        <v>0</v>
      </c>
      <c r="AC204" s="18">
        <f>IF(DataTable[[#This Row],[explanation1]]="O",1,IF(DataTable[[#This Row],[explanation2]]="O",1,0))</f>
        <v>0</v>
      </c>
      <c r="AD204" s="18">
        <f>IF(DataTable[[#This Row],[explanation1]]="TP",1,IF(DataTable[[#This Row],[explanation2]]="TP",1,0))</f>
        <v>0</v>
      </c>
      <c r="AE204" s="18">
        <f>IF(DataTable[[#This Row],[explanation1]]="WP",1,IF(DataTable[[#This Row],[explanation2]]="WP",1,0))</f>
        <v>1</v>
      </c>
      <c r="AF204" s="18">
        <f>IF(DataTable[[#This Row],[explanation1]]="BR",1,IF(DataTable[[#This Row],[explanation2]]="BR",1,0))</f>
        <v>0</v>
      </c>
      <c r="AG204" s="18">
        <f>IF(DataTable[[#This Row],[explanation1]]="LS",1,IF(DataTable[[#This Row],[explanation2]]="LS",1,0))</f>
        <v>0</v>
      </c>
      <c r="AH204" s="37" t="s">
        <v>11</v>
      </c>
    </row>
    <row r="205" spans="1:34" x14ac:dyDescent="0.2">
      <c r="A205" s="13">
        <v>203</v>
      </c>
      <c r="B205" s="14" t="s">
        <v>44</v>
      </c>
      <c r="C205" s="15" t="s">
        <v>74</v>
      </c>
      <c r="D205" s="16">
        <v>50</v>
      </c>
      <c r="E205" s="14" t="s">
        <v>58</v>
      </c>
      <c r="F205" s="16">
        <v>35</v>
      </c>
      <c r="G205" s="14" t="s">
        <v>44</v>
      </c>
      <c r="H205" s="15" t="s">
        <v>48</v>
      </c>
      <c r="I205" s="16" t="str">
        <f t="shared" si="3"/>
        <v>L1</v>
      </c>
      <c r="J205" s="14" t="s">
        <v>78</v>
      </c>
      <c r="K205" s="16" t="s">
        <v>50</v>
      </c>
      <c r="L205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05" s="15">
        <f>IF(DataTable[[#This Row],[3x head (H)/tail (T)?]]=DataTable[[#This Row],[then 4th: H/T/B/0]],1,0)</f>
        <v>0</v>
      </c>
      <c r="N205" s="15">
        <f>IF(DataTable[[#This Row],[then 4th: H/T/B/0]]="B",1,0)</f>
        <v>1</v>
      </c>
      <c r="O205" s="14" t="s">
        <v>277</v>
      </c>
      <c r="P205" s="15">
        <v>21</v>
      </c>
      <c r="Q205" s="17" t="s">
        <v>118</v>
      </c>
      <c r="R205" s="16" t="s">
        <v>53</v>
      </c>
      <c r="S205" s="18" t="s">
        <v>65</v>
      </c>
      <c r="T205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205" s="19" t="s">
        <v>95</v>
      </c>
      <c r="V205" s="20" t="s">
        <v>13</v>
      </c>
      <c r="W205" s="20"/>
      <c r="X205" s="18"/>
      <c r="Y205" s="18">
        <f>IF(DataTable[[#This Row],[explanation1]]="BL",1,IF(DataTable[[#This Row],[explanation2]]="BL",1,IF(DataTable[[#This Row],[explanation1]]="BR",1,IF(DataTable[[#This Row],[explanation2]]="BR",1,0))))</f>
        <v>0</v>
      </c>
      <c r="Z205" s="18">
        <f>IF(DataTable[[#This Row],[explanation1]]="BL",1,IF(DataTable[[#This Row],[explanation2]]="BL",1,0))</f>
        <v>0</v>
      </c>
      <c r="AA205" s="18">
        <f>IF(DataTable[[#This Row],[explanation1]]="WJ",1,IF(DataTable[[#This Row],[explanation2]]="WJ",1,0))</f>
        <v>0</v>
      </c>
      <c r="AB205" s="18">
        <f>IF(DataTable[[#This Row],[explanation1]]="U",1,IF(DataTable[[#This Row],[explanation2]]="U",1,0))</f>
        <v>0</v>
      </c>
      <c r="AC205" s="18">
        <f>IF(DataTable[[#This Row],[explanation1]]="O",1,IF(DataTable[[#This Row],[explanation2]]="O",1,0))</f>
        <v>0</v>
      </c>
      <c r="AD205" s="18">
        <f>IF(DataTable[[#This Row],[explanation1]]="TP",1,IF(DataTable[[#This Row],[explanation2]]="TP",1,0))</f>
        <v>0</v>
      </c>
      <c r="AE205" s="18">
        <f>IF(DataTable[[#This Row],[explanation1]]="WP",1,IF(DataTable[[#This Row],[explanation2]]="WP",1,0))</f>
        <v>0</v>
      </c>
      <c r="AF205" s="18">
        <f>IF(DataTable[[#This Row],[explanation1]]="BR",1,IF(DataTable[[#This Row],[explanation2]]="BR",1,0))</f>
        <v>0</v>
      </c>
      <c r="AG205" s="18">
        <f>IF(DataTable[[#This Row],[explanation1]]="LS",1,IF(DataTable[[#This Row],[explanation2]]="LS",1,0))</f>
        <v>1</v>
      </c>
      <c r="AH205" s="30" t="s">
        <v>285</v>
      </c>
    </row>
    <row r="206" spans="1:34" x14ac:dyDescent="0.2">
      <c r="A206" s="22">
        <v>204</v>
      </c>
      <c r="B206" s="23" t="s">
        <v>44</v>
      </c>
      <c r="C206" s="24" t="s">
        <v>45</v>
      </c>
      <c r="D206" s="25">
        <v>50</v>
      </c>
      <c r="E206" s="23" t="s">
        <v>58</v>
      </c>
      <c r="F206" s="25">
        <v>32</v>
      </c>
      <c r="G206" s="23" t="s">
        <v>44</v>
      </c>
      <c r="H206" s="24" t="s">
        <v>48</v>
      </c>
      <c r="I206" s="25" t="str">
        <f t="shared" si="3"/>
        <v>L1</v>
      </c>
      <c r="J206" s="23" t="s">
        <v>78</v>
      </c>
      <c r="K206" s="25" t="s">
        <v>50</v>
      </c>
      <c r="L206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06" s="24">
        <f>IF(DataTable[[#This Row],[3x head (H)/tail (T)?]]=DataTable[[#This Row],[then 4th: H/T/B/0]],1,0)</f>
        <v>0</v>
      </c>
      <c r="N206" s="24">
        <f>IF(DataTable[[#This Row],[then 4th: H/T/B/0]]="B",1,0)</f>
        <v>1</v>
      </c>
      <c r="O206" s="23" t="s">
        <v>277</v>
      </c>
      <c r="P206" s="24">
        <v>21</v>
      </c>
      <c r="Q206" s="26" t="s">
        <v>118</v>
      </c>
      <c r="R206" s="25" t="s">
        <v>53</v>
      </c>
      <c r="S206" s="27" t="s">
        <v>75</v>
      </c>
      <c r="T206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206" s="28" t="s">
        <v>76</v>
      </c>
      <c r="V206" s="29" t="s">
        <v>9</v>
      </c>
      <c r="W206" s="29"/>
      <c r="X206" s="27"/>
      <c r="Y206" s="27">
        <f>IF(DataTable[[#This Row],[explanation1]]="BL",1,IF(DataTable[[#This Row],[explanation2]]="BL",1,IF(DataTable[[#This Row],[explanation1]]="BR",1,IF(DataTable[[#This Row],[explanation2]]="BR",1,0))))</f>
        <v>0</v>
      </c>
      <c r="Z206" s="18">
        <f>IF(DataTable[[#This Row],[explanation1]]="BL",1,IF(DataTable[[#This Row],[explanation2]]="BL",1,0))</f>
        <v>0</v>
      </c>
      <c r="AA206" s="18">
        <f>IF(DataTable[[#This Row],[explanation1]]="WJ",1,IF(DataTable[[#This Row],[explanation2]]="WJ",1,0))</f>
        <v>0</v>
      </c>
      <c r="AB206" s="18">
        <f>IF(DataTable[[#This Row],[explanation1]]="U",1,IF(DataTable[[#This Row],[explanation2]]="U",1,0))</f>
        <v>0</v>
      </c>
      <c r="AC206" s="18">
        <f>IF(DataTable[[#This Row],[explanation1]]="O",1,IF(DataTable[[#This Row],[explanation2]]="O",1,0))</f>
        <v>1</v>
      </c>
      <c r="AD206" s="18">
        <f>IF(DataTable[[#This Row],[explanation1]]="TP",1,IF(DataTable[[#This Row],[explanation2]]="TP",1,0))</f>
        <v>0</v>
      </c>
      <c r="AE206" s="18">
        <f>IF(DataTable[[#This Row],[explanation1]]="WP",1,IF(DataTable[[#This Row],[explanation2]]="WP",1,0))</f>
        <v>0</v>
      </c>
      <c r="AF206" s="18">
        <f>IF(DataTable[[#This Row],[explanation1]]="BR",1,IF(DataTable[[#This Row],[explanation2]]="BR",1,0))</f>
        <v>0</v>
      </c>
      <c r="AG206" s="18">
        <f>IF(DataTable[[#This Row],[explanation1]]="LS",1,IF(DataTable[[#This Row],[explanation2]]="LS",1,0))</f>
        <v>0</v>
      </c>
      <c r="AH206" s="37" t="s">
        <v>286</v>
      </c>
    </row>
    <row r="207" spans="1:34" x14ac:dyDescent="0.2">
      <c r="A207" s="13">
        <v>205</v>
      </c>
      <c r="B207" s="14" t="s">
        <v>60</v>
      </c>
      <c r="C207" s="15" t="s">
        <v>74</v>
      </c>
      <c r="D207" s="16">
        <v>1</v>
      </c>
      <c r="E207" s="14" t="s">
        <v>58</v>
      </c>
      <c r="F207" s="16">
        <v>20</v>
      </c>
      <c r="G207" s="14" t="s">
        <v>47</v>
      </c>
      <c r="H207" s="15" t="s">
        <v>48</v>
      </c>
      <c r="I207" s="16" t="str">
        <f t="shared" si="3"/>
        <v>R</v>
      </c>
      <c r="J207" s="14" t="s">
        <v>78</v>
      </c>
      <c r="K207" s="16" t="s">
        <v>50</v>
      </c>
      <c r="L207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07" s="15">
        <f>IF(DataTable[[#This Row],[3x head (H)/tail (T)?]]=DataTable[[#This Row],[then 4th: H/T/B/0]],1,0)</f>
        <v>0</v>
      </c>
      <c r="N207" s="15">
        <f>IF(DataTable[[#This Row],[then 4th: H/T/B/0]]="B",1,0)</f>
        <v>1</v>
      </c>
      <c r="O207" s="14" t="s">
        <v>277</v>
      </c>
      <c r="P207" s="15">
        <v>21</v>
      </c>
      <c r="Q207" s="17" t="s">
        <v>118</v>
      </c>
      <c r="R207" s="16" t="s">
        <v>53</v>
      </c>
      <c r="S207" s="18" t="s">
        <v>103</v>
      </c>
      <c r="T207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5</v>
      </c>
      <c r="U207" s="19" t="s">
        <v>287</v>
      </c>
      <c r="V207" s="20" t="s">
        <v>11</v>
      </c>
      <c r="W207" s="20" t="s">
        <v>6</v>
      </c>
      <c r="X207" s="18"/>
      <c r="Y207" s="18">
        <f>IF(DataTable[[#This Row],[explanation1]]="BL",1,IF(DataTable[[#This Row],[explanation2]]="BL",1,IF(DataTable[[#This Row],[explanation1]]="BR",1,IF(DataTable[[#This Row],[explanation2]]="BR",1,0))))</f>
        <v>1</v>
      </c>
      <c r="Z207" s="18">
        <f>IF(DataTable[[#This Row],[explanation1]]="BL",1,IF(DataTable[[#This Row],[explanation2]]="BL",1,0))</f>
        <v>1</v>
      </c>
      <c r="AA207" s="18">
        <f>IF(DataTable[[#This Row],[explanation1]]="WJ",1,IF(DataTable[[#This Row],[explanation2]]="WJ",1,0))</f>
        <v>0</v>
      </c>
      <c r="AB207" s="18">
        <f>IF(DataTable[[#This Row],[explanation1]]="U",1,IF(DataTable[[#This Row],[explanation2]]="U",1,0))</f>
        <v>0</v>
      </c>
      <c r="AC207" s="18">
        <f>IF(DataTable[[#This Row],[explanation1]]="O",1,IF(DataTable[[#This Row],[explanation2]]="O",1,0))</f>
        <v>0</v>
      </c>
      <c r="AD207" s="18">
        <f>IF(DataTable[[#This Row],[explanation1]]="TP",1,IF(DataTable[[#This Row],[explanation2]]="TP",1,0))</f>
        <v>0</v>
      </c>
      <c r="AE207" s="18">
        <f>IF(DataTable[[#This Row],[explanation1]]="WP",1,IF(DataTable[[#This Row],[explanation2]]="WP",1,0))</f>
        <v>1</v>
      </c>
      <c r="AF207" s="18">
        <f>IF(DataTable[[#This Row],[explanation1]]="BR",1,IF(DataTable[[#This Row],[explanation2]]="BR",1,0))</f>
        <v>0</v>
      </c>
      <c r="AG207" s="18">
        <f>IF(DataTable[[#This Row],[explanation1]]="LS",1,IF(DataTable[[#This Row],[explanation2]]="LS",1,0))</f>
        <v>0</v>
      </c>
      <c r="AH207" s="30" t="s">
        <v>288</v>
      </c>
    </row>
    <row r="208" spans="1:34" x14ac:dyDescent="0.2">
      <c r="A208" s="22">
        <v>206</v>
      </c>
      <c r="B208" s="23" t="s">
        <v>60</v>
      </c>
      <c r="C208" s="24" t="s">
        <v>45</v>
      </c>
      <c r="D208" s="25">
        <v>1</v>
      </c>
      <c r="E208" s="23" t="s">
        <v>46</v>
      </c>
      <c r="F208" s="25">
        <v>21</v>
      </c>
      <c r="G208" s="23" t="s">
        <v>47</v>
      </c>
      <c r="H208" s="24" t="s">
        <v>48</v>
      </c>
      <c r="I208" s="25" t="str">
        <f t="shared" si="3"/>
        <v>R</v>
      </c>
      <c r="J208" s="23" t="s">
        <v>78</v>
      </c>
      <c r="K208" s="25" t="s">
        <v>50</v>
      </c>
      <c r="L208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08" s="24">
        <f>IF(DataTable[[#This Row],[3x head (H)/tail (T)?]]=DataTable[[#This Row],[then 4th: H/T/B/0]],1,0)</f>
        <v>0</v>
      </c>
      <c r="N208" s="24">
        <f>IF(DataTable[[#This Row],[then 4th: H/T/B/0]]="B",1,0)</f>
        <v>1</v>
      </c>
      <c r="O208" s="23" t="s">
        <v>277</v>
      </c>
      <c r="P208" s="24">
        <v>21</v>
      </c>
      <c r="Q208" s="26" t="s">
        <v>118</v>
      </c>
      <c r="R208" s="25" t="s">
        <v>53</v>
      </c>
      <c r="S208" s="27" t="s">
        <v>54</v>
      </c>
      <c r="T208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208" s="28" t="s">
        <v>100</v>
      </c>
      <c r="V208" s="29" t="s">
        <v>11</v>
      </c>
      <c r="W208" s="29"/>
      <c r="X208" s="27"/>
      <c r="Y208" s="27">
        <f>IF(DataTable[[#This Row],[explanation1]]="BL",1,IF(DataTable[[#This Row],[explanation2]]="BL",1,IF(DataTable[[#This Row],[explanation1]]="BR",1,IF(DataTable[[#This Row],[explanation2]]="BR",1,0))))</f>
        <v>0</v>
      </c>
      <c r="Z208" s="18">
        <f>IF(DataTable[[#This Row],[explanation1]]="BL",1,IF(DataTable[[#This Row],[explanation2]]="BL",1,0))</f>
        <v>0</v>
      </c>
      <c r="AA208" s="18">
        <f>IF(DataTable[[#This Row],[explanation1]]="WJ",1,IF(DataTable[[#This Row],[explanation2]]="WJ",1,0))</f>
        <v>0</v>
      </c>
      <c r="AB208" s="18">
        <f>IF(DataTable[[#This Row],[explanation1]]="U",1,IF(DataTable[[#This Row],[explanation2]]="U",1,0))</f>
        <v>0</v>
      </c>
      <c r="AC208" s="18">
        <f>IF(DataTable[[#This Row],[explanation1]]="O",1,IF(DataTable[[#This Row],[explanation2]]="O",1,0))</f>
        <v>0</v>
      </c>
      <c r="AD208" s="18">
        <f>IF(DataTable[[#This Row],[explanation1]]="TP",1,IF(DataTable[[#This Row],[explanation2]]="TP",1,0))</f>
        <v>0</v>
      </c>
      <c r="AE208" s="18">
        <f>IF(DataTable[[#This Row],[explanation1]]="WP",1,IF(DataTable[[#This Row],[explanation2]]="WP",1,0))</f>
        <v>1</v>
      </c>
      <c r="AF208" s="18">
        <f>IF(DataTable[[#This Row],[explanation1]]="BR",1,IF(DataTable[[#This Row],[explanation2]]="BR",1,0))</f>
        <v>0</v>
      </c>
      <c r="AG208" s="18">
        <f>IF(DataTable[[#This Row],[explanation1]]="LS",1,IF(DataTable[[#This Row],[explanation2]]="LS",1,0))</f>
        <v>0</v>
      </c>
      <c r="AH208" s="37" t="s">
        <v>284</v>
      </c>
    </row>
    <row r="209" spans="1:34" x14ac:dyDescent="0.2">
      <c r="A209" s="13">
        <v>207</v>
      </c>
      <c r="B209" s="14" t="s">
        <v>60</v>
      </c>
      <c r="C209" s="15" t="s">
        <v>74</v>
      </c>
      <c r="D209" s="16">
        <v>50</v>
      </c>
      <c r="E209" s="14" t="s">
        <v>46</v>
      </c>
      <c r="F209" s="16">
        <v>45</v>
      </c>
      <c r="G209" s="14" t="s">
        <v>60</v>
      </c>
      <c r="H209" s="15" t="s">
        <v>48</v>
      </c>
      <c r="I209" s="16" t="str">
        <f t="shared" si="3"/>
        <v>L5</v>
      </c>
      <c r="J209" s="14" t="s">
        <v>78</v>
      </c>
      <c r="K209" s="16" t="s">
        <v>78</v>
      </c>
      <c r="L209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09" s="15">
        <f>IF(DataTable[[#This Row],[3x head (H)/tail (T)?]]=DataTable[[#This Row],[then 4th: H/T/B/0]],1,0)</f>
        <v>1</v>
      </c>
      <c r="N209" s="15">
        <f>IF(DataTable[[#This Row],[then 4th: H/T/B/0]]="B",1,0)</f>
        <v>0</v>
      </c>
      <c r="O209" s="14" t="s">
        <v>277</v>
      </c>
      <c r="P209" s="15">
        <v>21</v>
      </c>
      <c r="Q209" s="17" t="s">
        <v>118</v>
      </c>
      <c r="R209" s="16" t="s">
        <v>53</v>
      </c>
      <c r="S209" s="18" t="s">
        <v>61</v>
      </c>
      <c r="T209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4</v>
      </c>
      <c r="U209" s="19" t="s">
        <v>173</v>
      </c>
      <c r="V209" s="20" t="s">
        <v>13</v>
      </c>
      <c r="W209" s="20"/>
      <c r="X209" s="18"/>
      <c r="Y209" s="18">
        <f>IF(DataTable[[#This Row],[explanation1]]="BL",1,IF(DataTable[[#This Row],[explanation2]]="BL",1,IF(DataTable[[#This Row],[explanation1]]="BR",1,IF(DataTable[[#This Row],[explanation2]]="BR",1,0))))</f>
        <v>0</v>
      </c>
      <c r="Z209" s="18">
        <f>IF(DataTable[[#This Row],[explanation1]]="BL",1,IF(DataTable[[#This Row],[explanation2]]="BL",1,0))</f>
        <v>0</v>
      </c>
      <c r="AA209" s="18">
        <f>IF(DataTable[[#This Row],[explanation1]]="WJ",1,IF(DataTable[[#This Row],[explanation2]]="WJ",1,0))</f>
        <v>0</v>
      </c>
      <c r="AB209" s="18">
        <f>IF(DataTable[[#This Row],[explanation1]]="U",1,IF(DataTable[[#This Row],[explanation2]]="U",1,0))</f>
        <v>0</v>
      </c>
      <c r="AC209" s="18">
        <f>IF(DataTable[[#This Row],[explanation1]]="O",1,IF(DataTable[[#This Row],[explanation2]]="O",1,0))</f>
        <v>0</v>
      </c>
      <c r="AD209" s="18">
        <f>IF(DataTable[[#This Row],[explanation1]]="TP",1,IF(DataTable[[#This Row],[explanation2]]="TP",1,0))</f>
        <v>0</v>
      </c>
      <c r="AE209" s="18">
        <f>IF(DataTable[[#This Row],[explanation1]]="WP",1,IF(DataTable[[#This Row],[explanation2]]="WP",1,0))</f>
        <v>0</v>
      </c>
      <c r="AF209" s="18">
        <f>IF(DataTable[[#This Row],[explanation1]]="BR",1,IF(DataTable[[#This Row],[explanation2]]="BR",1,0))</f>
        <v>0</v>
      </c>
      <c r="AG209" s="18">
        <f>IF(DataTable[[#This Row],[explanation1]]="LS",1,IF(DataTable[[#This Row],[explanation2]]="LS",1,0))</f>
        <v>1</v>
      </c>
      <c r="AH209" s="30" t="s">
        <v>289</v>
      </c>
    </row>
    <row r="210" spans="1:34" x14ac:dyDescent="0.2">
      <c r="A210" s="22">
        <v>208</v>
      </c>
      <c r="B210" s="23" t="s">
        <v>60</v>
      </c>
      <c r="C210" s="24" t="s">
        <v>74</v>
      </c>
      <c r="D210" s="25">
        <v>50</v>
      </c>
      <c r="E210" s="23" t="s">
        <v>58</v>
      </c>
      <c r="F210" s="25">
        <v>61</v>
      </c>
      <c r="G210" s="23" t="s">
        <v>60</v>
      </c>
      <c r="H210" s="24" t="s">
        <v>48</v>
      </c>
      <c r="I210" s="25" t="str">
        <f t="shared" si="3"/>
        <v>L5</v>
      </c>
      <c r="J210" s="23" t="s">
        <v>49</v>
      </c>
      <c r="K210" s="25" t="s">
        <v>78</v>
      </c>
      <c r="L210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210" s="24">
        <f>IF(DataTable[[#This Row],[3x head (H)/tail (T)?]]=DataTable[[#This Row],[then 4th: H/T/B/0]],1,0)</f>
        <v>0</v>
      </c>
      <c r="N210" s="24">
        <f>IF(DataTable[[#This Row],[then 4th: H/T/B/0]]="B",1,0)</f>
        <v>0</v>
      </c>
      <c r="O210" s="23" t="s">
        <v>277</v>
      </c>
      <c r="P210" s="24">
        <v>21</v>
      </c>
      <c r="Q210" s="26" t="s">
        <v>118</v>
      </c>
      <c r="R210" s="25" t="s">
        <v>53</v>
      </c>
      <c r="S210" s="27" t="s">
        <v>65</v>
      </c>
      <c r="T210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210" s="28" t="s">
        <v>290</v>
      </c>
      <c r="V210" s="29" t="s">
        <v>9</v>
      </c>
      <c r="W210" s="29"/>
      <c r="X210" s="27"/>
      <c r="Y210" s="27">
        <f>IF(DataTable[[#This Row],[explanation1]]="BL",1,IF(DataTable[[#This Row],[explanation2]]="BL",1,IF(DataTable[[#This Row],[explanation1]]="BR",1,IF(DataTable[[#This Row],[explanation2]]="BR",1,0))))</f>
        <v>0</v>
      </c>
      <c r="Z210" s="18">
        <f>IF(DataTable[[#This Row],[explanation1]]="BL",1,IF(DataTable[[#This Row],[explanation2]]="BL",1,0))</f>
        <v>0</v>
      </c>
      <c r="AA210" s="18">
        <f>IF(DataTable[[#This Row],[explanation1]]="WJ",1,IF(DataTable[[#This Row],[explanation2]]="WJ",1,0))</f>
        <v>0</v>
      </c>
      <c r="AB210" s="18">
        <f>IF(DataTable[[#This Row],[explanation1]]="U",1,IF(DataTable[[#This Row],[explanation2]]="U",1,0))</f>
        <v>0</v>
      </c>
      <c r="AC210" s="18">
        <f>IF(DataTable[[#This Row],[explanation1]]="O",1,IF(DataTable[[#This Row],[explanation2]]="O",1,0))</f>
        <v>1</v>
      </c>
      <c r="AD210" s="18">
        <f>IF(DataTable[[#This Row],[explanation1]]="TP",1,IF(DataTable[[#This Row],[explanation2]]="TP",1,0))</f>
        <v>0</v>
      </c>
      <c r="AE210" s="18">
        <f>IF(DataTable[[#This Row],[explanation1]]="WP",1,IF(DataTable[[#This Row],[explanation2]]="WP",1,0))</f>
        <v>0</v>
      </c>
      <c r="AF210" s="18">
        <f>IF(DataTable[[#This Row],[explanation1]]="BR",1,IF(DataTable[[#This Row],[explanation2]]="BR",1,0))</f>
        <v>0</v>
      </c>
      <c r="AG210" s="18">
        <f>IF(DataTable[[#This Row],[explanation1]]="LS",1,IF(DataTable[[#This Row],[explanation2]]="LS",1,0))</f>
        <v>0</v>
      </c>
      <c r="AH210" s="37" t="s">
        <v>291</v>
      </c>
    </row>
    <row r="211" spans="1:34" x14ac:dyDescent="0.2">
      <c r="A211" s="13">
        <v>209</v>
      </c>
      <c r="B211" s="14" t="s">
        <v>60</v>
      </c>
      <c r="C211" s="15" t="s">
        <v>45</v>
      </c>
      <c r="D211" s="16">
        <v>50</v>
      </c>
      <c r="E211" s="14" t="s">
        <v>58</v>
      </c>
      <c r="F211" s="16">
        <v>42</v>
      </c>
      <c r="G211" s="14" t="s">
        <v>60</v>
      </c>
      <c r="H211" s="15" t="s">
        <v>48</v>
      </c>
      <c r="I211" s="16" t="str">
        <f t="shared" si="3"/>
        <v>L5</v>
      </c>
      <c r="J211" s="14" t="s">
        <v>78</v>
      </c>
      <c r="K211" s="16" t="s">
        <v>50</v>
      </c>
      <c r="L211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11" s="15">
        <f>IF(DataTable[[#This Row],[3x head (H)/tail (T)?]]=DataTable[[#This Row],[then 4th: H/T/B/0]],1,0)</f>
        <v>0</v>
      </c>
      <c r="N211" s="15">
        <f>IF(DataTable[[#This Row],[then 4th: H/T/B/0]]="B",1,0)</f>
        <v>1</v>
      </c>
      <c r="O211" s="14" t="s">
        <v>277</v>
      </c>
      <c r="P211" s="15">
        <v>21</v>
      </c>
      <c r="Q211" s="17" t="s">
        <v>118</v>
      </c>
      <c r="R211" s="16" t="s">
        <v>53</v>
      </c>
      <c r="S211" s="18" t="s">
        <v>54</v>
      </c>
      <c r="T211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211" s="19" t="s">
        <v>100</v>
      </c>
      <c r="V211" s="20" t="s">
        <v>7</v>
      </c>
      <c r="W211" s="20" t="s">
        <v>9</v>
      </c>
      <c r="X211" s="18"/>
      <c r="Y211" s="18">
        <f>IF(DataTable[[#This Row],[explanation1]]="BL",1,IF(DataTable[[#This Row],[explanation2]]="BL",1,IF(DataTable[[#This Row],[explanation1]]="BR",1,IF(DataTable[[#This Row],[explanation2]]="BR",1,0))))</f>
        <v>0</v>
      </c>
      <c r="Z211" s="18">
        <f>IF(DataTable[[#This Row],[explanation1]]="BL",1,IF(DataTable[[#This Row],[explanation2]]="BL",1,0))</f>
        <v>0</v>
      </c>
      <c r="AA211" s="18">
        <f>IF(DataTable[[#This Row],[explanation1]]="WJ",1,IF(DataTable[[#This Row],[explanation2]]="WJ",1,0))</f>
        <v>1</v>
      </c>
      <c r="AB211" s="18">
        <f>IF(DataTable[[#This Row],[explanation1]]="U",1,IF(DataTable[[#This Row],[explanation2]]="U",1,0))</f>
        <v>0</v>
      </c>
      <c r="AC211" s="18">
        <f>IF(DataTable[[#This Row],[explanation1]]="O",1,IF(DataTable[[#This Row],[explanation2]]="O",1,0))</f>
        <v>1</v>
      </c>
      <c r="AD211" s="18">
        <f>IF(DataTable[[#This Row],[explanation1]]="TP",1,IF(DataTable[[#This Row],[explanation2]]="TP",1,0))</f>
        <v>0</v>
      </c>
      <c r="AE211" s="18">
        <f>IF(DataTable[[#This Row],[explanation1]]="WP",1,IF(DataTable[[#This Row],[explanation2]]="WP",1,0))</f>
        <v>0</v>
      </c>
      <c r="AF211" s="18">
        <f>IF(DataTable[[#This Row],[explanation1]]="BR",1,IF(DataTable[[#This Row],[explanation2]]="BR",1,0))</f>
        <v>0</v>
      </c>
      <c r="AG211" s="18">
        <f>IF(DataTable[[#This Row],[explanation1]]="LS",1,IF(DataTable[[#This Row],[explanation2]]="LS",1,0))</f>
        <v>0</v>
      </c>
      <c r="AH211" s="30" t="s">
        <v>292</v>
      </c>
    </row>
    <row r="212" spans="1:34" x14ac:dyDescent="0.2">
      <c r="A212" s="22">
        <v>210</v>
      </c>
      <c r="B212" s="23" t="s">
        <v>64</v>
      </c>
      <c r="C212" s="24" t="s">
        <v>74</v>
      </c>
      <c r="D212" s="25">
        <v>1</v>
      </c>
      <c r="E212" s="23" t="s">
        <v>58</v>
      </c>
      <c r="F212" s="25">
        <v>38</v>
      </c>
      <c r="G212" s="23" t="s">
        <v>64</v>
      </c>
      <c r="H212" s="24" t="s">
        <v>48</v>
      </c>
      <c r="I212" s="25" t="str">
        <f t="shared" si="3"/>
        <v>M1</v>
      </c>
      <c r="J212" s="23" t="s">
        <v>49</v>
      </c>
      <c r="K212" s="25" t="s">
        <v>50</v>
      </c>
      <c r="L212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12" s="24">
        <f>IF(DataTable[[#This Row],[3x head (H)/tail (T)?]]=DataTable[[#This Row],[then 4th: H/T/B/0]],1,0)</f>
        <v>0</v>
      </c>
      <c r="N212" s="24">
        <f>IF(DataTable[[#This Row],[then 4th: H/T/B/0]]="B",1,0)</f>
        <v>1</v>
      </c>
      <c r="O212" s="23" t="s">
        <v>277</v>
      </c>
      <c r="P212" s="24">
        <v>21</v>
      </c>
      <c r="Q212" s="26" t="s">
        <v>118</v>
      </c>
      <c r="R212" s="25" t="s">
        <v>53</v>
      </c>
      <c r="S212" s="27" t="s">
        <v>75</v>
      </c>
      <c r="T212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212" s="28" t="s">
        <v>76</v>
      </c>
      <c r="V212" s="29" t="s">
        <v>8</v>
      </c>
      <c r="W212" s="29"/>
      <c r="X212" s="27"/>
      <c r="Y212" s="27">
        <f>IF(DataTable[[#This Row],[explanation1]]="BL",1,IF(DataTable[[#This Row],[explanation2]]="BL",1,IF(DataTable[[#This Row],[explanation1]]="BR",1,IF(DataTable[[#This Row],[explanation2]]="BR",1,0))))</f>
        <v>0</v>
      </c>
      <c r="Z212" s="18">
        <f>IF(DataTable[[#This Row],[explanation1]]="BL",1,IF(DataTable[[#This Row],[explanation2]]="BL",1,0))</f>
        <v>0</v>
      </c>
      <c r="AA212" s="18">
        <f>IF(DataTable[[#This Row],[explanation1]]="WJ",1,IF(DataTable[[#This Row],[explanation2]]="WJ",1,0))</f>
        <v>0</v>
      </c>
      <c r="AB212" s="18">
        <f>IF(DataTable[[#This Row],[explanation1]]="U",1,IF(DataTable[[#This Row],[explanation2]]="U",1,0))</f>
        <v>1</v>
      </c>
      <c r="AC212" s="18">
        <f>IF(DataTable[[#This Row],[explanation1]]="O",1,IF(DataTable[[#This Row],[explanation2]]="O",1,0))</f>
        <v>0</v>
      </c>
      <c r="AD212" s="18">
        <f>IF(DataTable[[#This Row],[explanation1]]="TP",1,IF(DataTable[[#This Row],[explanation2]]="TP",1,0))</f>
        <v>0</v>
      </c>
      <c r="AE212" s="18">
        <f>IF(DataTable[[#This Row],[explanation1]]="WP",1,IF(DataTable[[#This Row],[explanation2]]="WP",1,0))</f>
        <v>0</v>
      </c>
      <c r="AF212" s="18">
        <f>IF(DataTable[[#This Row],[explanation1]]="BR",1,IF(DataTable[[#This Row],[explanation2]]="BR",1,0))</f>
        <v>0</v>
      </c>
      <c r="AG212" s="18">
        <f>IF(DataTable[[#This Row],[explanation1]]="LS",1,IF(DataTable[[#This Row],[explanation2]]="LS",1,0))</f>
        <v>0</v>
      </c>
      <c r="AH212" s="37" t="s">
        <v>293</v>
      </c>
    </row>
    <row r="213" spans="1:34" x14ac:dyDescent="0.2">
      <c r="A213" s="13">
        <v>211</v>
      </c>
      <c r="B213" s="14" t="s">
        <v>64</v>
      </c>
      <c r="C213" s="15" t="s">
        <v>74</v>
      </c>
      <c r="D213" s="16">
        <v>1</v>
      </c>
      <c r="E213" s="14" t="s">
        <v>46</v>
      </c>
      <c r="F213" s="16">
        <v>36</v>
      </c>
      <c r="G213" s="14" t="s">
        <v>47</v>
      </c>
      <c r="H213" s="15" t="s">
        <v>48</v>
      </c>
      <c r="I213" s="16" t="str">
        <f t="shared" si="3"/>
        <v>R</v>
      </c>
      <c r="J213" s="14" t="s">
        <v>49</v>
      </c>
      <c r="K213" s="16" t="s">
        <v>49</v>
      </c>
      <c r="L213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13" s="15">
        <f>IF(DataTable[[#This Row],[3x head (H)/tail (T)?]]=DataTable[[#This Row],[then 4th: H/T/B/0]],1,0)</f>
        <v>1</v>
      </c>
      <c r="N213" s="15">
        <f>IF(DataTable[[#This Row],[then 4th: H/T/B/0]]="B",1,0)</f>
        <v>0</v>
      </c>
      <c r="O213" s="14" t="s">
        <v>277</v>
      </c>
      <c r="P213" s="15">
        <v>21</v>
      </c>
      <c r="Q213" s="17" t="s">
        <v>118</v>
      </c>
      <c r="R213" s="16" t="s">
        <v>53</v>
      </c>
      <c r="S213" s="18" t="s">
        <v>65</v>
      </c>
      <c r="T213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213" s="19" t="s">
        <v>95</v>
      </c>
      <c r="V213" s="20" t="s">
        <v>11</v>
      </c>
      <c r="W213" s="20"/>
      <c r="X213" s="18"/>
      <c r="Y213" s="18">
        <f>IF(DataTable[[#This Row],[explanation1]]="BL",1,IF(DataTable[[#This Row],[explanation2]]="BL",1,IF(DataTable[[#This Row],[explanation1]]="BR",1,IF(DataTable[[#This Row],[explanation2]]="BR",1,0))))</f>
        <v>0</v>
      </c>
      <c r="Z213" s="18">
        <f>IF(DataTable[[#This Row],[explanation1]]="BL",1,IF(DataTable[[#This Row],[explanation2]]="BL",1,0))</f>
        <v>0</v>
      </c>
      <c r="AA213" s="18">
        <f>IF(DataTable[[#This Row],[explanation1]]="WJ",1,IF(DataTable[[#This Row],[explanation2]]="WJ",1,0))</f>
        <v>0</v>
      </c>
      <c r="AB213" s="18">
        <f>IF(DataTable[[#This Row],[explanation1]]="U",1,IF(DataTable[[#This Row],[explanation2]]="U",1,0))</f>
        <v>0</v>
      </c>
      <c r="AC213" s="18">
        <f>IF(DataTable[[#This Row],[explanation1]]="O",1,IF(DataTable[[#This Row],[explanation2]]="O",1,0))</f>
        <v>0</v>
      </c>
      <c r="AD213" s="18">
        <f>IF(DataTable[[#This Row],[explanation1]]="TP",1,IF(DataTable[[#This Row],[explanation2]]="TP",1,0))</f>
        <v>0</v>
      </c>
      <c r="AE213" s="18">
        <f>IF(DataTable[[#This Row],[explanation1]]="WP",1,IF(DataTable[[#This Row],[explanation2]]="WP",1,0))</f>
        <v>1</v>
      </c>
      <c r="AF213" s="18">
        <f>IF(DataTable[[#This Row],[explanation1]]="BR",1,IF(DataTable[[#This Row],[explanation2]]="BR",1,0))</f>
        <v>0</v>
      </c>
      <c r="AG213" s="18">
        <f>IF(DataTable[[#This Row],[explanation1]]="LS",1,IF(DataTable[[#This Row],[explanation2]]="LS",1,0))</f>
        <v>0</v>
      </c>
      <c r="AH213" s="30" t="s">
        <v>284</v>
      </c>
    </row>
    <row r="214" spans="1:34" x14ac:dyDescent="0.2">
      <c r="A214" s="22">
        <v>212</v>
      </c>
      <c r="B214" s="23" t="s">
        <v>64</v>
      </c>
      <c r="C214" s="24" t="s">
        <v>45</v>
      </c>
      <c r="D214" s="25">
        <v>1</v>
      </c>
      <c r="E214" s="23" t="s">
        <v>58</v>
      </c>
      <c r="F214" s="25">
        <v>31</v>
      </c>
      <c r="G214" s="23" t="s">
        <v>64</v>
      </c>
      <c r="H214" s="24" t="s">
        <v>48</v>
      </c>
      <c r="I214" s="25" t="str">
        <f t="shared" si="3"/>
        <v>M1</v>
      </c>
      <c r="J214" s="23" t="s">
        <v>49</v>
      </c>
      <c r="K214" s="25" t="s">
        <v>50</v>
      </c>
      <c r="L214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14" s="24">
        <f>IF(DataTable[[#This Row],[3x head (H)/tail (T)?]]=DataTable[[#This Row],[then 4th: H/T/B/0]],1,0)</f>
        <v>0</v>
      </c>
      <c r="N214" s="24">
        <f>IF(DataTable[[#This Row],[then 4th: H/T/B/0]]="B",1,0)</f>
        <v>1</v>
      </c>
      <c r="O214" s="23" t="s">
        <v>277</v>
      </c>
      <c r="P214" s="24">
        <v>21</v>
      </c>
      <c r="Q214" s="26" t="s">
        <v>118</v>
      </c>
      <c r="R214" s="25" t="s">
        <v>53</v>
      </c>
      <c r="S214" s="27" t="s">
        <v>75</v>
      </c>
      <c r="T214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214" s="28" t="s">
        <v>76</v>
      </c>
      <c r="V214" s="29" t="s">
        <v>13</v>
      </c>
      <c r="W214" s="29"/>
      <c r="X214" s="27"/>
      <c r="Y214" s="27">
        <f>IF(DataTable[[#This Row],[explanation1]]="BL",1,IF(DataTable[[#This Row],[explanation2]]="BL",1,IF(DataTable[[#This Row],[explanation1]]="BR",1,IF(DataTable[[#This Row],[explanation2]]="BR",1,0))))</f>
        <v>0</v>
      </c>
      <c r="Z214" s="18">
        <f>IF(DataTable[[#This Row],[explanation1]]="BL",1,IF(DataTable[[#This Row],[explanation2]]="BL",1,0))</f>
        <v>0</v>
      </c>
      <c r="AA214" s="18">
        <f>IF(DataTable[[#This Row],[explanation1]]="WJ",1,IF(DataTable[[#This Row],[explanation2]]="WJ",1,0))</f>
        <v>0</v>
      </c>
      <c r="AB214" s="18">
        <f>IF(DataTable[[#This Row],[explanation1]]="U",1,IF(DataTable[[#This Row],[explanation2]]="U",1,0))</f>
        <v>0</v>
      </c>
      <c r="AC214" s="18">
        <f>IF(DataTable[[#This Row],[explanation1]]="O",1,IF(DataTable[[#This Row],[explanation2]]="O",1,0))</f>
        <v>0</v>
      </c>
      <c r="AD214" s="18">
        <f>IF(DataTable[[#This Row],[explanation1]]="TP",1,IF(DataTable[[#This Row],[explanation2]]="TP",1,0))</f>
        <v>0</v>
      </c>
      <c r="AE214" s="18">
        <f>IF(DataTable[[#This Row],[explanation1]]="WP",1,IF(DataTable[[#This Row],[explanation2]]="WP",1,0))</f>
        <v>0</v>
      </c>
      <c r="AF214" s="18">
        <f>IF(DataTable[[#This Row],[explanation1]]="BR",1,IF(DataTable[[#This Row],[explanation2]]="BR",1,0))</f>
        <v>0</v>
      </c>
      <c r="AG214" s="18">
        <f>IF(DataTable[[#This Row],[explanation1]]="LS",1,IF(DataTable[[#This Row],[explanation2]]="LS",1,0))</f>
        <v>1</v>
      </c>
      <c r="AH214" s="37" t="s">
        <v>294</v>
      </c>
    </row>
    <row r="215" spans="1:34" x14ac:dyDescent="0.2">
      <c r="A215" s="13">
        <v>213</v>
      </c>
      <c r="B215" s="14" t="s">
        <v>64</v>
      </c>
      <c r="C215" s="15" t="s">
        <v>45</v>
      </c>
      <c r="D215" s="16">
        <v>1</v>
      </c>
      <c r="E215" s="14" t="s">
        <v>46</v>
      </c>
      <c r="F215" s="16">
        <v>47</v>
      </c>
      <c r="G215" s="14" t="s">
        <v>64</v>
      </c>
      <c r="H215" s="15" t="s">
        <v>48</v>
      </c>
      <c r="I215" s="16" t="str">
        <f t="shared" si="3"/>
        <v>M1</v>
      </c>
      <c r="J215" s="14" t="s">
        <v>49</v>
      </c>
      <c r="K215" s="16" t="s">
        <v>50</v>
      </c>
      <c r="L215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15" s="15">
        <f>IF(DataTable[[#This Row],[3x head (H)/tail (T)?]]=DataTable[[#This Row],[then 4th: H/T/B/0]],1,0)</f>
        <v>0</v>
      </c>
      <c r="N215" s="15">
        <f>IF(DataTable[[#This Row],[then 4th: H/T/B/0]]="B",1,0)</f>
        <v>1</v>
      </c>
      <c r="O215" s="14" t="s">
        <v>277</v>
      </c>
      <c r="P215" s="15">
        <v>21</v>
      </c>
      <c r="Q215" s="17" t="s">
        <v>118</v>
      </c>
      <c r="R215" s="16" t="s">
        <v>53</v>
      </c>
      <c r="S215" s="18" t="s">
        <v>61</v>
      </c>
      <c r="T215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4</v>
      </c>
      <c r="U215" s="19" t="s">
        <v>136</v>
      </c>
      <c r="V215" s="20" t="s">
        <v>9</v>
      </c>
      <c r="W215" s="20"/>
      <c r="X215" s="18"/>
      <c r="Y215" s="18">
        <f>IF(DataTable[[#This Row],[explanation1]]="BL",1,IF(DataTable[[#This Row],[explanation2]]="BL",1,IF(DataTable[[#This Row],[explanation1]]="BR",1,IF(DataTable[[#This Row],[explanation2]]="BR",1,0))))</f>
        <v>0</v>
      </c>
      <c r="Z215" s="18">
        <f>IF(DataTable[[#This Row],[explanation1]]="BL",1,IF(DataTable[[#This Row],[explanation2]]="BL",1,0))</f>
        <v>0</v>
      </c>
      <c r="AA215" s="18">
        <f>IF(DataTable[[#This Row],[explanation1]]="WJ",1,IF(DataTable[[#This Row],[explanation2]]="WJ",1,0))</f>
        <v>0</v>
      </c>
      <c r="AB215" s="18">
        <f>IF(DataTable[[#This Row],[explanation1]]="U",1,IF(DataTable[[#This Row],[explanation2]]="U",1,0))</f>
        <v>0</v>
      </c>
      <c r="AC215" s="18">
        <f>IF(DataTable[[#This Row],[explanation1]]="O",1,IF(DataTable[[#This Row],[explanation2]]="O",1,0))</f>
        <v>1</v>
      </c>
      <c r="AD215" s="18">
        <f>IF(DataTable[[#This Row],[explanation1]]="TP",1,IF(DataTable[[#This Row],[explanation2]]="TP",1,0))</f>
        <v>0</v>
      </c>
      <c r="AE215" s="18">
        <f>IF(DataTable[[#This Row],[explanation1]]="WP",1,IF(DataTable[[#This Row],[explanation2]]="WP",1,0))</f>
        <v>0</v>
      </c>
      <c r="AF215" s="18">
        <f>IF(DataTable[[#This Row],[explanation1]]="BR",1,IF(DataTable[[#This Row],[explanation2]]="BR",1,0))</f>
        <v>0</v>
      </c>
      <c r="AG215" s="18">
        <f>IF(DataTable[[#This Row],[explanation1]]="LS",1,IF(DataTable[[#This Row],[explanation2]]="LS",1,0))</f>
        <v>0</v>
      </c>
      <c r="AH215" s="30" t="s">
        <v>273</v>
      </c>
    </row>
    <row r="216" spans="1:34" x14ac:dyDescent="0.2">
      <c r="A216" s="22">
        <v>214</v>
      </c>
      <c r="B216" s="23" t="s">
        <v>64</v>
      </c>
      <c r="C216" s="24" t="s">
        <v>74</v>
      </c>
      <c r="D216" s="25">
        <v>50</v>
      </c>
      <c r="E216" s="23" t="s">
        <v>58</v>
      </c>
      <c r="F216" s="25">
        <v>40</v>
      </c>
      <c r="G216" s="23" t="s">
        <v>47</v>
      </c>
      <c r="H216" s="24" t="s">
        <v>48</v>
      </c>
      <c r="I216" s="25" t="str">
        <f t="shared" si="3"/>
        <v>R</v>
      </c>
      <c r="J216" s="23" t="s">
        <v>49</v>
      </c>
      <c r="K216" s="25" t="s">
        <v>49</v>
      </c>
      <c r="L216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16" s="24">
        <f>IF(DataTable[[#This Row],[3x head (H)/tail (T)?]]=DataTable[[#This Row],[then 4th: H/T/B/0]],1,0)</f>
        <v>1</v>
      </c>
      <c r="N216" s="24">
        <f>IF(DataTable[[#This Row],[then 4th: H/T/B/0]]="B",1,0)</f>
        <v>0</v>
      </c>
      <c r="O216" s="23" t="s">
        <v>277</v>
      </c>
      <c r="P216" s="24">
        <v>21</v>
      </c>
      <c r="Q216" s="26" t="s">
        <v>118</v>
      </c>
      <c r="R216" s="25" t="s">
        <v>53</v>
      </c>
      <c r="S216" s="27" t="s">
        <v>75</v>
      </c>
      <c r="T216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216" s="28" t="s">
        <v>76</v>
      </c>
      <c r="V216" s="29" t="s">
        <v>6</v>
      </c>
      <c r="W216" s="29"/>
      <c r="X216" s="27"/>
      <c r="Y216" s="27">
        <f>IF(DataTable[[#This Row],[explanation1]]="BL",1,IF(DataTable[[#This Row],[explanation2]]="BL",1,IF(DataTable[[#This Row],[explanation1]]="BR",1,IF(DataTable[[#This Row],[explanation2]]="BR",1,0))))</f>
        <v>1</v>
      </c>
      <c r="Z216" s="18">
        <f>IF(DataTable[[#This Row],[explanation1]]="BL",1,IF(DataTable[[#This Row],[explanation2]]="BL",1,0))</f>
        <v>1</v>
      </c>
      <c r="AA216" s="18">
        <f>IF(DataTable[[#This Row],[explanation1]]="WJ",1,IF(DataTable[[#This Row],[explanation2]]="WJ",1,0))</f>
        <v>0</v>
      </c>
      <c r="AB216" s="18">
        <f>IF(DataTable[[#This Row],[explanation1]]="U",1,IF(DataTable[[#This Row],[explanation2]]="U",1,0))</f>
        <v>0</v>
      </c>
      <c r="AC216" s="18">
        <f>IF(DataTable[[#This Row],[explanation1]]="O",1,IF(DataTable[[#This Row],[explanation2]]="O",1,0))</f>
        <v>0</v>
      </c>
      <c r="AD216" s="18">
        <f>IF(DataTable[[#This Row],[explanation1]]="TP",1,IF(DataTable[[#This Row],[explanation2]]="TP",1,0))</f>
        <v>0</v>
      </c>
      <c r="AE216" s="18">
        <f>IF(DataTable[[#This Row],[explanation1]]="WP",1,IF(DataTable[[#This Row],[explanation2]]="WP",1,0))</f>
        <v>0</v>
      </c>
      <c r="AF216" s="18">
        <f>IF(DataTable[[#This Row],[explanation1]]="BR",1,IF(DataTable[[#This Row],[explanation2]]="BR",1,0))</f>
        <v>0</v>
      </c>
      <c r="AG216" s="18">
        <f>IF(DataTable[[#This Row],[explanation1]]="LS",1,IF(DataTable[[#This Row],[explanation2]]="LS",1,0))</f>
        <v>0</v>
      </c>
      <c r="AH216" s="37" t="s">
        <v>295</v>
      </c>
    </row>
    <row r="217" spans="1:34" x14ac:dyDescent="0.2">
      <c r="A217" s="13">
        <v>215</v>
      </c>
      <c r="B217" s="14" t="s">
        <v>64</v>
      </c>
      <c r="C217" s="15" t="s">
        <v>74</v>
      </c>
      <c r="D217" s="16">
        <v>50</v>
      </c>
      <c r="E217" s="14" t="s">
        <v>46</v>
      </c>
      <c r="F217" s="16">
        <v>28</v>
      </c>
      <c r="G217" s="14" t="s">
        <v>47</v>
      </c>
      <c r="H217" s="15" t="s">
        <v>48</v>
      </c>
      <c r="I217" s="16" t="str">
        <f t="shared" si="3"/>
        <v>R</v>
      </c>
      <c r="J217" s="14" t="s">
        <v>49</v>
      </c>
      <c r="K217" s="16" t="s">
        <v>78</v>
      </c>
      <c r="L217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217" s="15">
        <f>IF(DataTable[[#This Row],[3x head (H)/tail (T)?]]=DataTable[[#This Row],[then 4th: H/T/B/0]],1,0)</f>
        <v>0</v>
      </c>
      <c r="N217" s="15">
        <f>IF(DataTable[[#This Row],[then 4th: H/T/B/0]]="B",1,0)</f>
        <v>0</v>
      </c>
      <c r="O217" s="14" t="s">
        <v>277</v>
      </c>
      <c r="P217" s="15">
        <v>21</v>
      </c>
      <c r="Q217" s="17" t="s">
        <v>118</v>
      </c>
      <c r="R217" s="16" t="s">
        <v>53</v>
      </c>
      <c r="S217" s="18" t="s">
        <v>103</v>
      </c>
      <c r="T217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5</v>
      </c>
      <c r="U217" s="19" t="s">
        <v>296</v>
      </c>
      <c r="V217" s="20" t="s">
        <v>8</v>
      </c>
      <c r="W217" s="20"/>
      <c r="X217" s="18" t="s">
        <v>231</v>
      </c>
      <c r="Y217" s="18">
        <f>IF(DataTable[[#This Row],[explanation1]]="BL",1,IF(DataTable[[#This Row],[explanation2]]="BL",1,IF(DataTable[[#This Row],[explanation1]]="BR",1,IF(DataTable[[#This Row],[explanation2]]="BR",1,0))))</f>
        <v>0</v>
      </c>
      <c r="Z217" s="18">
        <f>IF(DataTable[[#This Row],[explanation1]]="BL",1,IF(DataTable[[#This Row],[explanation2]]="BL",1,0))</f>
        <v>0</v>
      </c>
      <c r="AA217" s="18">
        <f>IF(DataTable[[#This Row],[explanation1]]="WJ",1,IF(DataTable[[#This Row],[explanation2]]="WJ",1,0))</f>
        <v>0</v>
      </c>
      <c r="AB217" s="18">
        <f>IF(DataTable[[#This Row],[explanation1]]="U",1,IF(DataTable[[#This Row],[explanation2]]="U",1,0))</f>
        <v>1</v>
      </c>
      <c r="AC217" s="18">
        <f>IF(DataTable[[#This Row],[explanation1]]="O",1,IF(DataTable[[#This Row],[explanation2]]="O",1,0))</f>
        <v>0</v>
      </c>
      <c r="AD217" s="18">
        <f>IF(DataTable[[#This Row],[explanation1]]="TP",1,IF(DataTable[[#This Row],[explanation2]]="TP",1,0))</f>
        <v>0</v>
      </c>
      <c r="AE217" s="18">
        <f>IF(DataTable[[#This Row],[explanation1]]="WP",1,IF(DataTable[[#This Row],[explanation2]]="WP",1,0))</f>
        <v>0</v>
      </c>
      <c r="AF217" s="18">
        <f>IF(DataTable[[#This Row],[explanation1]]="BR",1,IF(DataTable[[#This Row],[explanation2]]="BR",1,0))</f>
        <v>0</v>
      </c>
      <c r="AG217" s="18">
        <f>IF(DataTable[[#This Row],[explanation1]]="LS",1,IF(DataTable[[#This Row],[explanation2]]="LS",1,0))</f>
        <v>0</v>
      </c>
      <c r="AH217" s="30" t="s">
        <v>297</v>
      </c>
    </row>
    <row r="218" spans="1:34" x14ac:dyDescent="0.2">
      <c r="A218" s="22">
        <v>216</v>
      </c>
      <c r="B218" s="23" t="s">
        <v>64</v>
      </c>
      <c r="C218" s="24" t="s">
        <v>45</v>
      </c>
      <c r="D218" s="25">
        <v>50</v>
      </c>
      <c r="E218" s="23" t="s">
        <v>58</v>
      </c>
      <c r="F218" s="25">
        <v>30</v>
      </c>
      <c r="G218" s="23" t="s">
        <v>47</v>
      </c>
      <c r="H218" s="24" t="s">
        <v>48</v>
      </c>
      <c r="I218" s="25" t="str">
        <f t="shared" si="3"/>
        <v>R</v>
      </c>
      <c r="J218" s="23" t="s">
        <v>78</v>
      </c>
      <c r="K218" s="25" t="s">
        <v>49</v>
      </c>
      <c r="L218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218" s="24">
        <f>IF(DataTable[[#This Row],[3x head (H)/tail (T)?]]=DataTable[[#This Row],[then 4th: H/T/B/0]],1,0)</f>
        <v>0</v>
      </c>
      <c r="N218" s="24">
        <f>IF(DataTable[[#This Row],[then 4th: H/T/B/0]]="B",1,0)</f>
        <v>0</v>
      </c>
      <c r="O218" s="23" t="s">
        <v>277</v>
      </c>
      <c r="P218" s="24">
        <v>21</v>
      </c>
      <c r="Q218" s="26" t="s">
        <v>118</v>
      </c>
      <c r="R218" s="25" t="s">
        <v>53</v>
      </c>
      <c r="S218" s="27" t="s">
        <v>75</v>
      </c>
      <c r="T218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218" s="28" t="s">
        <v>76</v>
      </c>
      <c r="V218" s="29" t="s">
        <v>6</v>
      </c>
      <c r="W218" s="29"/>
      <c r="X218" s="27"/>
      <c r="Y218" s="27">
        <f>IF(DataTable[[#This Row],[explanation1]]="BL",1,IF(DataTable[[#This Row],[explanation2]]="BL",1,IF(DataTable[[#This Row],[explanation1]]="BR",1,IF(DataTable[[#This Row],[explanation2]]="BR",1,0))))</f>
        <v>1</v>
      </c>
      <c r="Z218" s="18">
        <f>IF(DataTable[[#This Row],[explanation1]]="BL",1,IF(DataTable[[#This Row],[explanation2]]="BL",1,0))</f>
        <v>1</v>
      </c>
      <c r="AA218" s="18">
        <f>IF(DataTable[[#This Row],[explanation1]]="WJ",1,IF(DataTable[[#This Row],[explanation2]]="WJ",1,0))</f>
        <v>0</v>
      </c>
      <c r="AB218" s="18">
        <f>IF(DataTable[[#This Row],[explanation1]]="U",1,IF(DataTable[[#This Row],[explanation2]]="U",1,0))</f>
        <v>0</v>
      </c>
      <c r="AC218" s="18">
        <f>IF(DataTable[[#This Row],[explanation1]]="O",1,IF(DataTable[[#This Row],[explanation2]]="O",1,0))</f>
        <v>0</v>
      </c>
      <c r="AD218" s="18">
        <f>IF(DataTable[[#This Row],[explanation1]]="TP",1,IF(DataTable[[#This Row],[explanation2]]="TP",1,0))</f>
        <v>0</v>
      </c>
      <c r="AE218" s="18">
        <f>IF(DataTable[[#This Row],[explanation1]]="WP",1,IF(DataTable[[#This Row],[explanation2]]="WP",1,0))</f>
        <v>0</v>
      </c>
      <c r="AF218" s="18">
        <f>IF(DataTable[[#This Row],[explanation1]]="BR",1,IF(DataTable[[#This Row],[explanation2]]="BR",1,0))</f>
        <v>0</v>
      </c>
      <c r="AG218" s="18">
        <f>IF(DataTable[[#This Row],[explanation1]]="LS",1,IF(DataTable[[#This Row],[explanation2]]="LS",1,0))</f>
        <v>0</v>
      </c>
      <c r="AH218" s="37" t="s">
        <v>295</v>
      </c>
    </row>
    <row r="219" spans="1:34" x14ac:dyDescent="0.2">
      <c r="A219" s="13">
        <v>217</v>
      </c>
      <c r="B219" s="14" t="s">
        <v>64</v>
      </c>
      <c r="C219" s="15" t="s">
        <v>45</v>
      </c>
      <c r="D219" s="16">
        <v>50</v>
      </c>
      <c r="E219" s="14" t="s">
        <v>58</v>
      </c>
      <c r="F219" s="16">
        <v>23</v>
      </c>
      <c r="G219" s="14" t="s">
        <v>47</v>
      </c>
      <c r="H219" s="15" t="s">
        <v>48</v>
      </c>
      <c r="I219" s="16" t="str">
        <f t="shared" si="3"/>
        <v>R</v>
      </c>
      <c r="J219" s="14" t="s">
        <v>78</v>
      </c>
      <c r="K219" s="16" t="s">
        <v>49</v>
      </c>
      <c r="L219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219" s="15">
        <f>IF(DataTable[[#This Row],[3x head (H)/tail (T)?]]=DataTable[[#This Row],[then 4th: H/T/B/0]],1,0)</f>
        <v>0</v>
      </c>
      <c r="N219" s="15">
        <f>IF(DataTable[[#This Row],[then 4th: H/T/B/0]]="B",1,0)</f>
        <v>0</v>
      </c>
      <c r="O219" s="14" t="s">
        <v>277</v>
      </c>
      <c r="P219" s="15">
        <v>21</v>
      </c>
      <c r="Q219" s="17" t="s">
        <v>118</v>
      </c>
      <c r="R219" s="16" t="s">
        <v>53</v>
      </c>
      <c r="S219" s="18" t="s">
        <v>65</v>
      </c>
      <c r="T219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219" s="19" t="s">
        <v>95</v>
      </c>
      <c r="V219" s="20" t="s">
        <v>6</v>
      </c>
      <c r="W219" s="20" t="s">
        <v>11</v>
      </c>
      <c r="X219" s="18"/>
      <c r="Y219" s="18">
        <f>IF(DataTable[[#This Row],[explanation1]]="BL",1,IF(DataTable[[#This Row],[explanation2]]="BL",1,IF(DataTable[[#This Row],[explanation1]]="BR",1,IF(DataTable[[#This Row],[explanation2]]="BR",1,0))))</f>
        <v>1</v>
      </c>
      <c r="Z219" s="18">
        <f>IF(DataTable[[#This Row],[explanation1]]="BL",1,IF(DataTable[[#This Row],[explanation2]]="BL",1,0))</f>
        <v>1</v>
      </c>
      <c r="AA219" s="18">
        <f>IF(DataTable[[#This Row],[explanation1]]="WJ",1,IF(DataTable[[#This Row],[explanation2]]="WJ",1,0))</f>
        <v>0</v>
      </c>
      <c r="AB219" s="18">
        <f>IF(DataTable[[#This Row],[explanation1]]="U",1,IF(DataTable[[#This Row],[explanation2]]="U",1,0))</f>
        <v>0</v>
      </c>
      <c r="AC219" s="18">
        <f>IF(DataTable[[#This Row],[explanation1]]="O",1,IF(DataTable[[#This Row],[explanation2]]="O",1,0))</f>
        <v>0</v>
      </c>
      <c r="AD219" s="18">
        <f>IF(DataTable[[#This Row],[explanation1]]="TP",1,IF(DataTable[[#This Row],[explanation2]]="TP",1,0))</f>
        <v>0</v>
      </c>
      <c r="AE219" s="18">
        <f>IF(DataTable[[#This Row],[explanation1]]="WP",1,IF(DataTable[[#This Row],[explanation2]]="WP",1,0))</f>
        <v>1</v>
      </c>
      <c r="AF219" s="18">
        <f>IF(DataTable[[#This Row],[explanation1]]="BR",1,IF(DataTable[[#This Row],[explanation2]]="BR",1,0))</f>
        <v>0</v>
      </c>
      <c r="AG219" s="18">
        <f>IF(DataTable[[#This Row],[explanation1]]="LS",1,IF(DataTable[[#This Row],[explanation2]]="LS",1,0))</f>
        <v>0</v>
      </c>
      <c r="AH219" s="30" t="s">
        <v>298</v>
      </c>
    </row>
    <row r="220" spans="1:34" x14ac:dyDescent="0.2">
      <c r="A220" s="22">
        <v>218</v>
      </c>
      <c r="B220" s="23" t="s">
        <v>64</v>
      </c>
      <c r="C220" s="24" t="s">
        <v>45</v>
      </c>
      <c r="D220" s="25">
        <v>50</v>
      </c>
      <c r="E220" s="23" t="s">
        <v>46</v>
      </c>
      <c r="F220" s="25">
        <v>33</v>
      </c>
      <c r="G220" s="23" t="s">
        <v>47</v>
      </c>
      <c r="H220" s="24" t="s">
        <v>48</v>
      </c>
      <c r="I220" s="25" t="str">
        <f t="shared" si="3"/>
        <v>R</v>
      </c>
      <c r="J220" s="23" t="s">
        <v>78</v>
      </c>
      <c r="K220" s="25" t="s">
        <v>50</v>
      </c>
      <c r="L220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20" s="24">
        <f>IF(DataTable[[#This Row],[3x head (H)/tail (T)?]]=DataTable[[#This Row],[then 4th: H/T/B/0]],1,0)</f>
        <v>0</v>
      </c>
      <c r="N220" s="24">
        <f>IF(DataTable[[#This Row],[then 4th: H/T/B/0]]="B",1,0)</f>
        <v>1</v>
      </c>
      <c r="O220" s="23" t="s">
        <v>277</v>
      </c>
      <c r="P220" s="24">
        <v>21</v>
      </c>
      <c r="Q220" s="26" t="s">
        <v>118</v>
      </c>
      <c r="R220" s="25" t="s">
        <v>53</v>
      </c>
      <c r="S220" s="27" t="s">
        <v>65</v>
      </c>
      <c r="T220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220" s="28" t="s">
        <v>95</v>
      </c>
      <c r="V220" s="29" t="s">
        <v>7</v>
      </c>
      <c r="W220" s="29"/>
      <c r="X220" s="27"/>
      <c r="Y220" s="27">
        <f>IF(DataTable[[#This Row],[explanation1]]="BL",1,IF(DataTable[[#This Row],[explanation2]]="BL",1,IF(DataTable[[#This Row],[explanation1]]="BR",1,IF(DataTable[[#This Row],[explanation2]]="BR",1,0))))</f>
        <v>0</v>
      </c>
      <c r="Z220" s="18">
        <f>IF(DataTable[[#This Row],[explanation1]]="BL",1,IF(DataTable[[#This Row],[explanation2]]="BL",1,0))</f>
        <v>0</v>
      </c>
      <c r="AA220" s="18">
        <f>IF(DataTable[[#This Row],[explanation1]]="WJ",1,IF(DataTable[[#This Row],[explanation2]]="WJ",1,0))</f>
        <v>1</v>
      </c>
      <c r="AB220" s="18">
        <f>IF(DataTable[[#This Row],[explanation1]]="U",1,IF(DataTable[[#This Row],[explanation2]]="U",1,0))</f>
        <v>0</v>
      </c>
      <c r="AC220" s="18">
        <f>IF(DataTable[[#This Row],[explanation1]]="O",1,IF(DataTable[[#This Row],[explanation2]]="O",1,0))</f>
        <v>0</v>
      </c>
      <c r="AD220" s="18">
        <f>IF(DataTable[[#This Row],[explanation1]]="TP",1,IF(DataTable[[#This Row],[explanation2]]="TP",1,0))</f>
        <v>0</v>
      </c>
      <c r="AE220" s="18">
        <f>IF(DataTable[[#This Row],[explanation1]]="WP",1,IF(DataTable[[#This Row],[explanation2]]="WP",1,0))</f>
        <v>0</v>
      </c>
      <c r="AF220" s="18">
        <f>IF(DataTable[[#This Row],[explanation1]]="BR",1,IF(DataTable[[#This Row],[explanation2]]="BR",1,0))</f>
        <v>0</v>
      </c>
      <c r="AG220" s="18">
        <f>IF(DataTable[[#This Row],[explanation1]]="LS",1,IF(DataTable[[#This Row],[explanation2]]="LS",1,0))</f>
        <v>0</v>
      </c>
      <c r="AH220" s="37" t="s">
        <v>299</v>
      </c>
    </row>
    <row r="221" spans="1:34" x14ac:dyDescent="0.2">
      <c r="A221" s="13">
        <v>219</v>
      </c>
      <c r="B221" s="14" t="s">
        <v>64</v>
      </c>
      <c r="C221" s="15" t="s">
        <v>74</v>
      </c>
      <c r="D221" s="16">
        <v>1</v>
      </c>
      <c r="E221" s="14" t="s">
        <v>58</v>
      </c>
      <c r="F221" s="16">
        <v>26</v>
      </c>
      <c r="G221" s="14" t="s">
        <v>47</v>
      </c>
      <c r="H221" s="15" t="s">
        <v>48</v>
      </c>
      <c r="I221" s="16" t="str">
        <f t="shared" si="3"/>
        <v>R</v>
      </c>
      <c r="J221" s="14" t="s">
        <v>49</v>
      </c>
      <c r="K221" s="16" t="s">
        <v>78</v>
      </c>
      <c r="L221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221" s="15">
        <f>IF(DataTable[[#This Row],[3x head (H)/tail (T)?]]=DataTable[[#This Row],[then 4th: H/T/B/0]],1,0)</f>
        <v>0</v>
      </c>
      <c r="N221" s="15">
        <f>IF(DataTable[[#This Row],[then 4th: H/T/B/0]]="B",1,0)</f>
        <v>0</v>
      </c>
      <c r="O221" s="14" t="s">
        <v>277</v>
      </c>
      <c r="P221" s="15">
        <v>21</v>
      </c>
      <c r="Q221" s="17" t="s">
        <v>118</v>
      </c>
      <c r="R221" s="16" t="s">
        <v>53</v>
      </c>
      <c r="S221" s="18" t="s">
        <v>54</v>
      </c>
      <c r="T221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221" s="19" t="s">
        <v>100</v>
      </c>
      <c r="V221" s="20" t="s">
        <v>8</v>
      </c>
      <c r="W221" s="20" t="s">
        <v>11</v>
      </c>
      <c r="X221" s="18" t="s">
        <v>204</v>
      </c>
      <c r="Y221" s="18">
        <f>IF(DataTable[[#This Row],[explanation1]]="BL",1,IF(DataTable[[#This Row],[explanation2]]="BL",1,IF(DataTable[[#This Row],[explanation1]]="BR",1,IF(DataTable[[#This Row],[explanation2]]="BR",1,0))))</f>
        <v>0</v>
      </c>
      <c r="Z221" s="18">
        <f>IF(DataTable[[#This Row],[explanation1]]="BL",1,IF(DataTable[[#This Row],[explanation2]]="BL",1,0))</f>
        <v>0</v>
      </c>
      <c r="AA221" s="18">
        <f>IF(DataTable[[#This Row],[explanation1]]="WJ",1,IF(DataTable[[#This Row],[explanation2]]="WJ",1,0))</f>
        <v>0</v>
      </c>
      <c r="AB221" s="18">
        <f>IF(DataTable[[#This Row],[explanation1]]="U",1,IF(DataTable[[#This Row],[explanation2]]="U",1,0))</f>
        <v>1</v>
      </c>
      <c r="AC221" s="18">
        <f>IF(DataTable[[#This Row],[explanation1]]="O",1,IF(DataTable[[#This Row],[explanation2]]="O",1,0))</f>
        <v>0</v>
      </c>
      <c r="AD221" s="18">
        <f>IF(DataTable[[#This Row],[explanation1]]="TP",1,IF(DataTable[[#This Row],[explanation2]]="TP",1,0))</f>
        <v>0</v>
      </c>
      <c r="AE221" s="18">
        <f>IF(DataTable[[#This Row],[explanation1]]="WP",1,IF(DataTable[[#This Row],[explanation2]]="WP",1,0))</f>
        <v>1</v>
      </c>
      <c r="AF221" s="18">
        <f>IF(DataTable[[#This Row],[explanation1]]="BR",1,IF(DataTable[[#This Row],[explanation2]]="BR",1,0))</f>
        <v>0</v>
      </c>
      <c r="AG221" s="18">
        <f>IF(DataTable[[#This Row],[explanation1]]="LS",1,IF(DataTable[[#This Row],[explanation2]]="LS",1,0))</f>
        <v>0</v>
      </c>
      <c r="AH221" s="30" t="s">
        <v>300</v>
      </c>
    </row>
    <row r="222" spans="1:34" x14ac:dyDescent="0.2">
      <c r="A222" s="22">
        <v>220</v>
      </c>
      <c r="B222" s="23" t="s">
        <v>64</v>
      </c>
      <c r="C222" s="24" t="s">
        <v>45</v>
      </c>
      <c r="D222" s="25">
        <v>1</v>
      </c>
      <c r="E222" s="23" t="s">
        <v>58</v>
      </c>
      <c r="F222" s="25">
        <v>25</v>
      </c>
      <c r="G222" s="23" t="s">
        <v>64</v>
      </c>
      <c r="H222" s="24" t="s">
        <v>48</v>
      </c>
      <c r="I222" s="25" t="str">
        <f t="shared" si="3"/>
        <v>M1</v>
      </c>
      <c r="J222" s="23" t="s">
        <v>49</v>
      </c>
      <c r="K222" s="25" t="s">
        <v>50</v>
      </c>
      <c r="L222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22" s="24">
        <f>IF(DataTable[[#This Row],[3x head (H)/tail (T)?]]=DataTable[[#This Row],[then 4th: H/T/B/0]],1,0)</f>
        <v>0</v>
      </c>
      <c r="N222" s="24">
        <f>IF(DataTable[[#This Row],[then 4th: H/T/B/0]]="B",1,0)</f>
        <v>1</v>
      </c>
      <c r="O222" s="23" t="s">
        <v>277</v>
      </c>
      <c r="P222" s="24">
        <v>21</v>
      </c>
      <c r="Q222" s="26" t="s">
        <v>118</v>
      </c>
      <c r="R222" s="25" t="s">
        <v>53</v>
      </c>
      <c r="S222" s="27" t="s">
        <v>75</v>
      </c>
      <c r="T222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222" s="28" t="s">
        <v>76</v>
      </c>
      <c r="V222" s="29" t="s">
        <v>8</v>
      </c>
      <c r="W222" s="29"/>
      <c r="X222" s="27" t="s">
        <v>204</v>
      </c>
      <c r="Y222" s="27">
        <f>IF(DataTable[[#This Row],[explanation1]]="BL",1,IF(DataTable[[#This Row],[explanation2]]="BL",1,IF(DataTable[[#This Row],[explanation1]]="BR",1,IF(DataTable[[#This Row],[explanation2]]="BR",1,0))))</f>
        <v>0</v>
      </c>
      <c r="Z222" s="18">
        <f>IF(DataTable[[#This Row],[explanation1]]="BL",1,IF(DataTable[[#This Row],[explanation2]]="BL",1,0))</f>
        <v>0</v>
      </c>
      <c r="AA222" s="18">
        <f>IF(DataTable[[#This Row],[explanation1]]="WJ",1,IF(DataTable[[#This Row],[explanation2]]="WJ",1,0))</f>
        <v>0</v>
      </c>
      <c r="AB222" s="18">
        <f>IF(DataTable[[#This Row],[explanation1]]="U",1,IF(DataTable[[#This Row],[explanation2]]="U",1,0))</f>
        <v>1</v>
      </c>
      <c r="AC222" s="18">
        <f>IF(DataTable[[#This Row],[explanation1]]="O",1,IF(DataTable[[#This Row],[explanation2]]="O",1,0))</f>
        <v>0</v>
      </c>
      <c r="AD222" s="18">
        <f>IF(DataTable[[#This Row],[explanation1]]="TP",1,IF(DataTable[[#This Row],[explanation2]]="TP",1,0))</f>
        <v>0</v>
      </c>
      <c r="AE222" s="18">
        <f>IF(DataTable[[#This Row],[explanation1]]="WP",1,IF(DataTable[[#This Row],[explanation2]]="WP",1,0))</f>
        <v>0</v>
      </c>
      <c r="AF222" s="18">
        <f>IF(DataTable[[#This Row],[explanation1]]="BR",1,IF(DataTable[[#This Row],[explanation2]]="BR",1,0))</f>
        <v>0</v>
      </c>
      <c r="AG222" s="18">
        <f>IF(DataTable[[#This Row],[explanation1]]="LS",1,IF(DataTable[[#This Row],[explanation2]]="LS",1,0))</f>
        <v>0</v>
      </c>
      <c r="AH222" s="37" t="s">
        <v>301</v>
      </c>
    </row>
    <row r="223" spans="1:34" x14ac:dyDescent="0.2">
      <c r="A223" s="13">
        <v>221</v>
      </c>
      <c r="B223" s="14" t="s">
        <v>57</v>
      </c>
      <c r="C223" s="15" t="s">
        <v>74</v>
      </c>
      <c r="D223" s="16">
        <v>50</v>
      </c>
      <c r="E223" s="14" t="s">
        <v>58</v>
      </c>
      <c r="F223" s="16">
        <v>20</v>
      </c>
      <c r="G223" s="14" t="s">
        <v>47</v>
      </c>
      <c r="H223" s="15" t="s">
        <v>48</v>
      </c>
      <c r="I223" s="16" t="str">
        <f t="shared" si="3"/>
        <v>R</v>
      </c>
      <c r="J223" s="14" t="s">
        <v>49</v>
      </c>
      <c r="K223" s="16" t="s">
        <v>78</v>
      </c>
      <c r="L223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223" s="15">
        <f>IF(DataTable[[#This Row],[3x head (H)/tail (T)?]]=DataTable[[#This Row],[then 4th: H/T/B/0]],1,0)</f>
        <v>0</v>
      </c>
      <c r="N223" s="15">
        <f>IF(DataTable[[#This Row],[then 4th: H/T/B/0]]="B",1,0)</f>
        <v>0</v>
      </c>
      <c r="O223" s="14" t="s">
        <v>302</v>
      </c>
      <c r="P223" s="15">
        <v>21</v>
      </c>
      <c r="Q223" s="17" t="s">
        <v>406</v>
      </c>
      <c r="R223" s="16" t="s">
        <v>53</v>
      </c>
      <c r="S223" s="18" t="s">
        <v>75</v>
      </c>
      <c r="T223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223" s="19" t="s">
        <v>76</v>
      </c>
      <c r="V223" s="20" t="s">
        <v>8</v>
      </c>
      <c r="W223" s="20"/>
      <c r="X223" s="18"/>
      <c r="Y223" s="18">
        <f>IF(DataTable[[#This Row],[explanation1]]="BL",1,IF(DataTable[[#This Row],[explanation2]]="BL",1,IF(DataTable[[#This Row],[explanation1]]="BR",1,IF(DataTable[[#This Row],[explanation2]]="BR",1,0))))</f>
        <v>0</v>
      </c>
      <c r="Z223" s="18">
        <f>IF(DataTable[[#This Row],[explanation1]]="BL",1,IF(DataTable[[#This Row],[explanation2]]="BL",1,0))</f>
        <v>0</v>
      </c>
      <c r="AA223" s="18">
        <f>IF(DataTable[[#This Row],[explanation1]]="WJ",1,IF(DataTable[[#This Row],[explanation2]]="WJ",1,0))</f>
        <v>0</v>
      </c>
      <c r="AB223" s="18">
        <f>IF(DataTable[[#This Row],[explanation1]]="U",1,IF(DataTable[[#This Row],[explanation2]]="U",1,0))</f>
        <v>1</v>
      </c>
      <c r="AC223" s="18">
        <f>IF(DataTable[[#This Row],[explanation1]]="O",1,IF(DataTable[[#This Row],[explanation2]]="O",1,0))</f>
        <v>0</v>
      </c>
      <c r="AD223" s="18">
        <f>IF(DataTable[[#This Row],[explanation1]]="TP",1,IF(DataTable[[#This Row],[explanation2]]="TP",1,0))</f>
        <v>0</v>
      </c>
      <c r="AE223" s="18">
        <f>IF(DataTable[[#This Row],[explanation1]]="WP",1,IF(DataTable[[#This Row],[explanation2]]="WP",1,0))</f>
        <v>0</v>
      </c>
      <c r="AF223" s="18">
        <f>IF(DataTable[[#This Row],[explanation1]]="BR",1,IF(DataTable[[#This Row],[explanation2]]="BR",1,0))</f>
        <v>0</v>
      </c>
      <c r="AG223" s="18">
        <f>IF(DataTable[[#This Row],[explanation1]]="LS",1,IF(DataTable[[#This Row],[explanation2]]="LS",1,0))</f>
        <v>0</v>
      </c>
      <c r="AH223" s="30" t="s">
        <v>303</v>
      </c>
    </row>
    <row r="224" spans="1:34" x14ac:dyDescent="0.2">
      <c r="A224" s="22">
        <v>222</v>
      </c>
      <c r="B224" s="23" t="s">
        <v>57</v>
      </c>
      <c r="C224" s="24" t="s">
        <v>74</v>
      </c>
      <c r="D224" s="25">
        <v>50</v>
      </c>
      <c r="E224" s="23" t="s">
        <v>46</v>
      </c>
      <c r="F224" s="25">
        <v>27</v>
      </c>
      <c r="G224" s="23" t="s">
        <v>47</v>
      </c>
      <c r="H224" s="24" t="s">
        <v>48</v>
      </c>
      <c r="I224" s="25" t="str">
        <f t="shared" si="3"/>
        <v>R</v>
      </c>
      <c r="J224" s="23" t="s">
        <v>49</v>
      </c>
      <c r="K224" s="25" t="s">
        <v>50</v>
      </c>
      <c r="L224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24" s="24">
        <f>IF(DataTable[[#This Row],[3x head (H)/tail (T)?]]=DataTable[[#This Row],[then 4th: H/T/B/0]],1,0)</f>
        <v>0</v>
      </c>
      <c r="N224" s="24">
        <f>IF(DataTable[[#This Row],[then 4th: H/T/B/0]]="B",1,0)</f>
        <v>1</v>
      </c>
      <c r="O224" s="23" t="s">
        <v>302</v>
      </c>
      <c r="P224" s="24">
        <v>21</v>
      </c>
      <c r="Q224" s="26" t="s">
        <v>71</v>
      </c>
      <c r="R224" s="25" t="s">
        <v>53</v>
      </c>
      <c r="S224" s="27" t="s">
        <v>54</v>
      </c>
      <c r="T224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224" s="28" t="s">
        <v>88</v>
      </c>
      <c r="V224" s="29" t="s">
        <v>10</v>
      </c>
      <c r="W224" s="29" t="s">
        <v>11</v>
      </c>
      <c r="X224" s="27"/>
      <c r="Y224" s="27">
        <f>IF(DataTable[[#This Row],[explanation1]]="BL",1,IF(DataTable[[#This Row],[explanation2]]="BL",1,IF(DataTable[[#This Row],[explanation1]]="BR",1,IF(DataTable[[#This Row],[explanation2]]="BR",1,0))))</f>
        <v>0</v>
      </c>
      <c r="Z224" s="18">
        <f>IF(DataTable[[#This Row],[explanation1]]="BL",1,IF(DataTable[[#This Row],[explanation2]]="BL",1,0))</f>
        <v>0</v>
      </c>
      <c r="AA224" s="18">
        <f>IF(DataTable[[#This Row],[explanation1]]="WJ",1,IF(DataTable[[#This Row],[explanation2]]="WJ",1,0))</f>
        <v>0</v>
      </c>
      <c r="AB224" s="18">
        <f>IF(DataTable[[#This Row],[explanation1]]="U",1,IF(DataTable[[#This Row],[explanation2]]="U",1,0))</f>
        <v>0</v>
      </c>
      <c r="AC224" s="18">
        <f>IF(DataTable[[#This Row],[explanation1]]="O",1,IF(DataTable[[#This Row],[explanation2]]="O",1,0))</f>
        <v>0</v>
      </c>
      <c r="AD224" s="18">
        <f>IF(DataTable[[#This Row],[explanation1]]="TP",1,IF(DataTable[[#This Row],[explanation2]]="TP",1,0))</f>
        <v>1</v>
      </c>
      <c r="AE224" s="18">
        <f>IF(DataTable[[#This Row],[explanation1]]="WP",1,IF(DataTable[[#This Row],[explanation2]]="WP",1,0))</f>
        <v>1</v>
      </c>
      <c r="AF224" s="18">
        <f>IF(DataTable[[#This Row],[explanation1]]="BR",1,IF(DataTable[[#This Row],[explanation2]]="BR",1,0))</f>
        <v>0</v>
      </c>
      <c r="AG224" s="18">
        <f>IF(DataTable[[#This Row],[explanation1]]="LS",1,IF(DataTable[[#This Row],[explanation2]]="LS",1,0))</f>
        <v>0</v>
      </c>
      <c r="AH224" s="37" t="s">
        <v>304</v>
      </c>
    </row>
    <row r="225" spans="1:34" x14ac:dyDescent="0.2">
      <c r="A225" s="13">
        <v>223</v>
      </c>
      <c r="B225" s="14" t="s">
        <v>57</v>
      </c>
      <c r="C225" s="15" t="s">
        <v>45</v>
      </c>
      <c r="D225" s="16">
        <v>50</v>
      </c>
      <c r="E225" s="14" t="s">
        <v>46</v>
      </c>
      <c r="F225" s="16">
        <v>52</v>
      </c>
      <c r="G225" s="14" t="s">
        <v>47</v>
      </c>
      <c r="H225" s="15" t="s">
        <v>48</v>
      </c>
      <c r="I225" s="16" t="str">
        <f t="shared" si="3"/>
        <v>R</v>
      </c>
      <c r="J225" s="14" t="s">
        <v>78</v>
      </c>
      <c r="K225" s="16" t="s">
        <v>50</v>
      </c>
      <c r="L225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25" s="15">
        <f>IF(DataTable[[#This Row],[3x head (H)/tail (T)?]]=DataTable[[#This Row],[then 4th: H/T/B/0]],1,0)</f>
        <v>0</v>
      </c>
      <c r="N225" s="15">
        <f>IF(DataTable[[#This Row],[then 4th: H/T/B/0]]="B",1,0)</f>
        <v>1</v>
      </c>
      <c r="O225" s="14" t="s">
        <v>302</v>
      </c>
      <c r="P225" s="15">
        <v>21</v>
      </c>
      <c r="Q225" s="17" t="s">
        <v>406</v>
      </c>
      <c r="R225" s="16" t="s">
        <v>53</v>
      </c>
      <c r="S225" s="18" t="s">
        <v>75</v>
      </c>
      <c r="T225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225" s="19" t="s">
        <v>76</v>
      </c>
      <c r="V225" s="20" t="s">
        <v>11</v>
      </c>
      <c r="W225" s="20"/>
      <c r="X225" s="18"/>
      <c r="Y225" s="18">
        <f>IF(DataTable[[#This Row],[explanation1]]="BL",1,IF(DataTable[[#This Row],[explanation2]]="BL",1,IF(DataTable[[#This Row],[explanation1]]="BR",1,IF(DataTable[[#This Row],[explanation2]]="BR",1,0))))</f>
        <v>0</v>
      </c>
      <c r="Z225" s="18">
        <f>IF(DataTable[[#This Row],[explanation1]]="BL",1,IF(DataTable[[#This Row],[explanation2]]="BL",1,0))</f>
        <v>0</v>
      </c>
      <c r="AA225" s="18">
        <f>IF(DataTable[[#This Row],[explanation1]]="WJ",1,IF(DataTable[[#This Row],[explanation2]]="WJ",1,0))</f>
        <v>0</v>
      </c>
      <c r="AB225" s="18">
        <f>IF(DataTable[[#This Row],[explanation1]]="U",1,IF(DataTable[[#This Row],[explanation2]]="U",1,0))</f>
        <v>0</v>
      </c>
      <c r="AC225" s="18">
        <f>IF(DataTable[[#This Row],[explanation1]]="O",1,IF(DataTable[[#This Row],[explanation2]]="O",1,0))</f>
        <v>0</v>
      </c>
      <c r="AD225" s="18">
        <f>IF(DataTable[[#This Row],[explanation1]]="TP",1,IF(DataTable[[#This Row],[explanation2]]="TP",1,0))</f>
        <v>0</v>
      </c>
      <c r="AE225" s="18">
        <f>IF(DataTable[[#This Row],[explanation1]]="WP",1,IF(DataTable[[#This Row],[explanation2]]="WP",1,0))</f>
        <v>1</v>
      </c>
      <c r="AF225" s="18">
        <f>IF(DataTable[[#This Row],[explanation1]]="BR",1,IF(DataTable[[#This Row],[explanation2]]="BR",1,0))</f>
        <v>0</v>
      </c>
      <c r="AG225" s="18">
        <f>IF(DataTable[[#This Row],[explanation1]]="LS",1,IF(DataTable[[#This Row],[explanation2]]="LS",1,0))</f>
        <v>0</v>
      </c>
      <c r="AH225" s="30" t="s">
        <v>11</v>
      </c>
    </row>
    <row r="226" spans="1:34" x14ac:dyDescent="0.2">
      <c r="A226" s="22">
        <v>224</v>
      </c>
      <c r="B226" s="23" t="s">
        <v>57</v>
      </c>
      <c r="C226" s="24" t="s">
        <v>45</v>
      </c>
      <c r="D226" s="25">
        <v>50</v>
      </c>
      <c r="E226" s="23" t="s">
        <v>46</v>
      </c>
      <c r="F226" s="25">
        <v>37</v>
      </c>
      <c r="G226" s="23" t="s">
        <v>47</v>
      </c>
      <c r="H226" s="24" t="s">
        <v>48</v>
      </c>
      <c r="I226" s="25" t="str">
        <f t="shared" si="3"/>
        <v>R</v>
      </c>
      <c r="J226" s="23" t="s">
        <v>78</v>
      </c>
      <c r="K226" s="25" t="s">
        <v>50</v>
      </c>
      <c r="L226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26" s="24">
        <f>IF(DataTable[[#This Row],[3x head (H)/tail (T)?]]=DataTable[[#This Row],[then 4th: H/T/B/0]],1,0)</f>
        <v>0</v>
      </c>
      <c r="N226" s="24">
        <f>IF(DataTable[[#This Row],[then 4th: H/T/B/0]]="B",1,0)</f>
        <v>1</v>
      </c>
      <c r="O226" s="23" t="s">
        <v>302</v>
      </c>
      <c r="P226" s="24">
        <v>21</v>
      </c>
      <c r="Q226" s="26" t="s">
        <v>71</v>
      </c>
      <c r="R226" s="25" t="s">
        <v>53</v>
      </c>
      <c r="S226" s="27" t="s">
        <v>65</v>
      </c>
      <c r="T226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226" s="28" t="s">
        <v>95</v>
      </c>
      <c r="V226" s="29" t="s">
        <v>7</v>
      </c>
      <c r="W226" s="29" t="s">
        <v>9</v>
      </c>
      <c r="X226" s="27"/>
      <c r="Y226" s="27">
        <f>IF(DataTable[[#This Row],[explanation1]]="BL",1,IF(DataTable[[#This Row],[explanation2]]="BL",1,IF(DataTable[[#This Row],[explanation1]]="BR",1,IF(DataTable[[#This Row],[explanation2]]="BR",1,0))))</f>
        <v>0</v>
      </c>
      <c r="Z226" s="18">
        <f>IF(DataTable[[#This Row],[explanation1]]="BL",1,IF(DataTable[[#This Row],[explanation2]]="BL",1,0))</f>
        <v>0</v>
      </c>
      <c r="AA226" s="18">
        <f>IF(DataTable[[#This Row],[explanation1]]="WJ",1,IF(DataTable[[#This Row],[explanation2]]="WJ",1,0))</f>
        <v>1</v>
      </c>
      <c r="AB226" s="18">
        <f>IF(DataTable[[#This Row],[explanation1]]="U",1,IF(DataTable[[#This Row],[explanation2]]="U",1,0))</f>
        <v>0</v>
      </c>
      <c r="AC226" s="18">
        <f>IF(DataTable[[#This Row],[explanation1]]="O",1,IF(DataTable[[#This Row],[explanation2]]="O",1,0))</f>
        <v>1</v>
      </c>
      <c r="AD226" s="18">
        <f>IF(DataTable[[#This Row],[explanation1]]="TP",1,IF(DataTable[[#This Row],[explanation2]]="TP",1,0))</f>
        <v>0</v>
      </c>
      <c r="AE226" s="18">
        <f>IF(DataTable[[#This Row],[explanation1]]="WP",1,IF(DataTable[[#This Row],[explanation2]]="WP",1,0))</f>
        <v>0</v>
      </c>
      <c r="AF226" s="18">
        <f>IF(DataTable[[#This Row],[explanation1]]="BR",1,IF(DataTable[[#This Row],[explanation2]]="BR",1,0))</f>
        <v>0</v>
      </c>
      <c r="AG226" s="18">
        <f>IF(DataTable[[#This Row],[explanation1]]="LS",1,IF(DataTable[[#This Row],[explanation2]]="LS",1,0))</f>
        <v>0</v>
      </c>
      <c r="AH226" s="37" t="s">
        <v>305</v>
      </c>
    </row>
    <row r="227" spans="1:34" x14ac:dyDescent="0.2">
      <c r="A227" s="13">
        <v>225</v>
      </c>
      <c r="B227" s="14" t="s">
        <v>68</v>
      </c>
      <c r="C227" s="15" t="s">
        <v>74</v>
      </c>
      <c r="D227" s="16">
        <v>1</v>
      </c>
      <c r="E227" s="14" t="s">
        <v>58</v>
      </c>
      <c r="F227" s="16">
        <v>34</v>
      </c>
      <c r="G227" s="14" t="s">
        <v>47</v>
      </c>
      <c r="H227" s="15" t="s">
        <v>81</v>
      </c>
      <c r="I227" s="16" t="str">
        <f t="shared" si="3"/>
        <v>H5</v>
      </c>
      <c r="J227" s="14" t="s">
        <v>78</v>
      </c>
      <c r="K227" s="16" t="s">
        <v>50</v>
      </c>
      <c r="L227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27" s="15">
        <f>IF(DataTable[[#This Row],[3x head (H)/tail (T)?]]=DataTable[[#This Row],[then 4th: H/T/B/0]],1,0)</f>
        <v>0</v>
      </c>
      <c r="N227" s="15">
        <f>IF(DataTable[[#This Row],[then 4th: H/T/B/0]]="B",1,0)</f>
        <v>1</v>
      </c>
      <c r="O227" s="14" t="s">
        <v>302</v>
      </c>
      <c r="P227" s="15">
        <v>21</v>
      </c>
      <c r="Q227" s="17" t="s">
        <v>71</v>
      </c>
      <c r="R227" s="16" t="s">
        <v>53</v>
      </c>
      <c r="S227" s="18" t="s">
        <v>75</v>
      </c>
      <c r="T227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227" s="19" t="s">
        <v>76</v>
      </c>
      <c r="V227" s="20" t="s">
        <v>13</v>
      </c>
      <c r="W227" s="20"/>
      <c r="X227" s="18"/>
      <c r="Y227" s="18">
        <f>IF(DataTable[[#This Row],[explanation1]]="BL",1,IF(DataTable[[#This Row],[explanation2]]="BL",1,IF(DataTable[[#This Row],[explanation1]]="BR",1,IF(DataTable[[#This Row],[explanation2]]="BR",1,0))))</f>
        <v>0</v>
      </c>
      <c r="Z227" s="18">
        <f>IF(DataTable[[#This Row],[explanation1]]="BL",1,IF(DataTable[[#This Row],[explanation2]]="BL",1,0))</f>
        <v>0</v>
      </c>
      <c r="AA227" s="18">
        <f>IF(DataTable[[#This Row],[explanation1]]="WJ",1,IF(DataTable[[#This Row],[explanation2]]="WJ",1,0))</f>
        <v>0</v>
      </c>
      <c r="AB227" s="18">
        <f>IF(DataTable[[#This Row],[explanation1]]="U",1,IF(DataTable[[#This Row],[explanation2]]="U",1,0))</f>
        <v>0</v>
      </c>
      <c r="AC227" s="18">
        <f>IF(DataTable[[#This Row],[explanation1]]="O",1,IF(DataTable[[#This Row],[explanation2]]="O",1,0))</f>
        <v>0</v>
      </c>
      <c r="AD227" s="18">
        <f>IF(DataTable[[#This Row],[explanation1]]="TP",1,IF(DataTable[[#This Row],[explanation2]]="TP",1,0))</f>
        <v>0</v>
      </c>
      <c r="AE227" s="18">
        <f>IF(DataTable[[#This Row],[explanation1]]="WP",1,IF(DataTable[[#This Row],[explanation2]]="WP",1,0))</f>
        <v>0</v>
      </c>
      <c r="AF227" s="18">
        <f>IF(DataTable[[#This Row],[explanation1]]="BR",1,IF(DataTable[[#This Row],[explanation2]]="BR",1,0))</f>
        <v>0</v>
      </c>
      <c r="AG227" s="18">
        <f>IF(DataTable[[#This Row],[explanation1]]="LS",1,IF(DataTable[[#This Row],[explanation2]]="LS",1,0))</f>
        <v>1</v>
      </c>
      <c r="AH227" s="30" t="s">
        <v>306</v>
      </c>
    </row>
    <row r="228" spans="1:34" x14ac:dyDescent="0.2">
      <c r="A228" s="22">
        <v>226</v>
      </c>
      <c r="B228" s="23" t="s">
        <v>68</v>
      </c>
      <c r="C228" s="24" t="s">
        <v>74</v>
      </c>
      <c r="D228" s="25">
        <v>1</v>
      </c>
      <c r="E228" s="23" t="s">
        <v>46</v>
      </c>
      <c r="F228" s="25">
        <v>23</v>
      </c>
      <c r="G228" s="23" t="s">
        <v>68</v>
      </c>
      <c r="H228" s="24" t="s">
        <v>48</v>
      </c>
      <c r="I228" s="25" t="str">
        <f t="shared" si="3"/>
        <v>H5</v>
      </c>
      <c r="J228" s="23" t="s">
        <v>49</v>
      </c>
      <c r="K228" s="25" t="s">
        <v>49</v>
      </c>
      <c r="L228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28" s="24">
        <f>IF(DataTable[[#This Row],[3x head (H)/tail (T)?]]=DataTable[[#This Row],[then 4th: H/T/B/0]],1,0)</f>
        <v>1</v>
      </c>
      <c r="N228" s="24">
        <f>IF(DataTable[[#This Row],[then 4th: H/T/B/0]]="B",1,0)</f>
        <v>0</v>
      </c>
      <c r="O228" s="23" t="s">
        <v>302</v>
      </c>
      <c r="P228" s="24">
        <v>21</v>
      </c>
      <c r="Q228" s="26" t="s">
        <v>71</v>
      </c>
      <c r="R228" s="25" t="s">
        <v>53</v>
      </c>
      <c r="S228" s="27" t="s">
        <v>75</v>
      </c>
      <c r="T228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228" s="28" t="s">
        <v>76</v>
      </c>
      <c r="V228" s="29" t="s">
        <v>8</v>
      </c>
      <c r="W228" s="29"/>
      <c r="X228" s="27" t="s">
        <v>158</v>
      </c>
      <c r="Y228" s="27">
        <f>IF(DataTable[[#This Row],[explanation1]]="BL",1,IF(DataTable[[#This Row],[explanation2]]="BL",1,IF(DataTable[[#This Row],[explanation1]]="BR",1,IF(DataTable[[#This Row],[explanation2]]="BR",1,0))))</f>
        <v>0</v>
      </c>
      <c r="Z228" s="18">
        <f>IF(DataTable[[#This Row],[explanation1]]="BL",1,IF(DataTable[[#This Row],[explanation2]]="BL",1,0))</f>
        <v>0</v>
      </c>
      <c r="AA228" s="18">
        <f>IF(DataTable[[#This Row],[explanation1]]="WJ",1,IF(DataTable[[#This Row],[explanation2]]="WJ",1,0))</f>
        <v>0</v>
      </c>
      <c r="AB228" s="18">
        <f>IF(DataTable[[#This Row],[explanation1]]="U",1,IF(DataTable[[#This Row],[explanation2]]="U",1,0))</f>
        <v>1</v>
      </c>
      <c r="AC228" s="18">
        <f>IF(DataTable[[#This Row],[explanation1]]="O",1,IF(DataTable[[#This Row],[explanation2]]="O",1,0))</f>
        <v>0</v>
      </c>
      <c r="AD228" s="18">
        <f>IF(DataTable[[#This Row],[explanation1]]="TP",1,IF(DataTable[[#This Row],[explanation2]]="TP",1,0))</f>
        <v>0</v>
      </c>
      <c r="AE228" s="18">
        <f>IF(DataTable[[#This Row],[explanation1]]="WP",1,IF(DataTable[[#This Row],[explanation2]]="WP",1,0))</f>
        <v>0</v>
      </c>
      <c r="AF228" s="18">
        <f>IF(DataTable[[#This Row],[explanation1]]="BR",1,IF(DataTable[[#This Row],[explanation2]]="BR",1,0))</f>
        <v>0</v>
      </c>
      <c r="AG228" s="18">
        <f>IF(DataTable[[#This Row],[explanation1]]="LS",1,IF(DataTable[[#This Row],[explanation2]]="LS",1,0))</f>
        <v>0</v>
      </c>
      <c r="AH228" s="37" t="s">
        <v>307</v>
      </c>
    </row>
    <row r="229" spans="1:34" x14ac:dyDescent="0.2">
      <c r="A229" s="13">
        <v>227</v>
      </c>
      <c r="B229" s="14" t="s">
        <v>68</v>
      </c>
      <c r="C229" s="15" t="s">
        <v>45</v>
      </c>
      <c r="D229" s="16">
        <v>50</v>
      </c>
      <c r="E229" s="14" t="s">
        <v>46</v>
      </c>
      <c r="F229" s="16">
        <v>69</v>
      </c>
      <c r="G229" s="14" t="s">
        <v>47</v>
      </c>
      <c r="H229" s="15" t="s">
        <v>48</v>
      </c>
      <c r="I229" s="16" t="str">
        <f t="shared" si="3"/>
        <v>R</v>
      </c>
      <c r="J229" s="14" t="s">
        <v>78</v>
      </c>
      <c r="K229" s="16" t="s">
        <v>78</v>
      </c>
      <c r="L229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29" s="15">
        <f>IF(DataTable[[#This Row],[3x head (H)/tail (T)?]]=DataTable[[#This Row],[then 4th: H/T/B/0]],1,0)</f>
        <v>1</v>
      </c>
      <c r="N229" s="15">
        <f>IF(DataTable[[#This Row],[then 4th: H/T/B/0]]="B",1,0)</f>
        <v>0</v>
      </c>
      <c r="O229" s="14" t="s">
        <v>302</v>
      </c>
      <c r="P229" s="15">
        <v>21</v>
      </c>
      <c r="Q229" s="17" t="s">
        <v>406</v>
      </c>
      <c r="R229" s="16" t="s">
        <v>53</v>
      </c>
      <c r="S229" s="18" t="s">
        <v>75</v>
      </c>
      <c r="T229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229" s="19" t="s">
        <v>76</v>
      </c>
      <c r="V229" s="20" t="s">
        <v>7</v>
      </c>
      <c r="W229" s="20" t="s">
        <v>9</v>
      </c>
      <c r="X229" s="18"/>
      <c r="Y229" s="18">
        <f>IF(DataTable[[#This Row],[explanation1]]="BL",1,IF(DataTable[[#This Row],[explanation2]]="BL",1,IF(DataTable[[#This Row],[explanation1]]="BR",1,IF(DataTable[[#This Row],[explanation2]]="BR",1,0))))</f>
        <v>0</v>
      </c>
      <c r="Z229" s="18">
        <f>IF(DataTable[[#This Row],[explanation1]]="BL",1,IF(DataTable[[#This Row],[explanation2]]="BL",1,0))</f>
        <v>0</v>
      </c>
      <c r="AA229" s="18">
        <f>IF(DataTable[[#This Row],[explanation1]]="WJ",1,IF(DataTable[[#This Row],[explanation2]]="WJ",1,0))</f>
        <v>1</v>
      </c>
      <c r="AB229" s="18">
        <f>IF(DataTable[[#This Row],[explanation1]]="U",1,IF(DataTable[[#This Row],[explanation2]]="U",1,0))</f>
        <v>0</v>
      </c>
      <c r="AC229" s="18">
        <f>IF(DataTable[[#This Row],[explanation1]]="O",1,IF(DataTable[[#This Row],[explanation2]]="O",1,0))</f>
        <v>1</v>
      </c>
      <c r="AD229" s="18">
        <f>IF(DataTable[[#This Row],[explanation1]]="TP",1,IF(DataTable[[#This Row],[explanation2]]="TP",1,0))</f>
        <v>0</v>
      </c>
      <c r="AE229" s="18">
        <f>IF(DataTable[[#This Row],[explanation1]]="WP",1,IF(DataTable[[#This Row],[explanation2]]="WP",1,0))</f>
        <v>0</v>
      </c>
      <c r="AF229" s="18">
        <f>IF(DataTable[[#This Row],[explanation1]]="BR",1,IF(DataTable[[#This Row],[explanation2]]="BR",1,0))</f>
        <v>0</v>
      </c>
      <c r="AG229" s="18">
        <f>IF(DataTable[[#This Row],[explanation1]]="LS",1,IF(DataTable[[#This Row],[explanation2]]="LS",1,0))</f>
        <v>0</v>
      </c>
      <c r="AH229" s="30" t="s">
        <v>308</v>
      </c>
    </row>
    <row r="230" spans="1:34" x14ac:dyDescent="0.2">
      <c r="A230" s="22">
        <v>228</v>
      </c>
      <c r="B230" s="23" t="s">
        <v>60</v>
      </c>
      <c r="C230" s="24" t="s">
        <v>45</v>
      </c>
      <c r="D230" s="25">
        <v>50</v>
      </c>
      <c r="E230" s="23" t="s">
        <v>58</v>
      </c>
      <c r="F230" s="25">
        <v>26</v>
      </c>
      <c r="G230" s="23" t="s">
        <v>47</v>
      </c>
      <c r="H230" s="24" t="s">
        <v>48</v>
      </c>
      <c r="I230" s="25" t="str">
        <f t="shared" si="3"/>
        <v>R</v>
      </c>
      <c r="J230" s="23" t="s">
        <v>78</v>
      </c>
      <c r="K230" s="25" t="s">
        <v>49</v>
      </c>
      <c r="L230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230" s="24">
        <f>IF(DataTable[[#This Row],[3x head (H)/tail (T)?]]=DataTable[[#This Row],[then 4th: H/T/B/0]],1,0)</f>
        <v>0</v>
      </c>
      <c r="N230" s="24">
        <f>IF(DataTable[[#This Row],[then 4th: H/T/B/0]]="B",1,0)</f>
        <v>0</v>
      </c>
      <c r="O230" s="23" t="s">
        <v>302</v>
      </c>
      <c r="P230" s="24">
        <v>21</v>
      </c>
      <c r="Q230" s="26" t="s">
        <v>406</v>
      </c>
      <c r="R230" s="25" t="s">
        <v>53</v>
      </c>
      <c r="S230" s="27" t="s">
        <v>75</v>
      </c>
      <c r="T230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230" s="28" t="s">
        <v>76</v>
      </c>
      <c r="V230" s="29" t="s">
        <v>9</v>
      </c>
      <c r="W230" s="29" t="s">
        <v>8</v>
      </c>
      <c r="X230" s="27" t="s">
        <v>309</v>
      </c>
      <c r="Y230" s="27">
        <f>IF(DataTable[[#This Row],[explanation1]]="BL",1,IF(DataTable[[#This Row],[explanation2]]="BL",1,IF(DataTable[[#This Row],[explanation1]]="BR",1,IF(DataTable[[#This Row],[explanation2]]="BR",1,0))))</f>
        <v>0</v>
      </c>
      <c r="Z230" s="18">
        <f>IF(DataTable[[#This Row],[explanation1]]="BL",1,IF(DataTable[[#This Row],[explanation2]]="BL",1,0))</f>
        <v>0</v>
      </c>
      <c r="AA230" s="18">
        <f>IF(DataTable[[#This Row],[explanation1]]="WJ",1,IF(DataTable[[#This Row],[explanation2]]="WJ",1,0))</f>
        <v>0</v>
      </c>
      <c r="AB230" s="18">
        <f>IF(DataTable[[#This Row],[explanation1]]="U",1,IF(DataTable[[#This Row],[explanation2]]="U",1,0))</f>
        <v>1</v>
      </c>
      <c r="AC230" s="18">
        <f>IF(DataTable[[#This Row],[explanation1]]="O",1,IF(DataTable[[#This Row],[explanation2]]="O",1,0))</f>
        <v>1</v>
      </c>
      <c r="AD230" s="18">
        <f>IF(DataTable[[#This Row],[explanation1]]="TP",1,IF(DataTable[[#This Row],[explanation2]]="TP",1,0))</f>
        <v>0</v>
      </c>
      <c r="AE230" s="18">
        <f>IF(DataTable[[#This Row],[explanation1]]="WP",1,IF(DataTable[[#This Row],[explanation2]]="WP",1,0))</f>
        <v>0</v>
      </c>
      <c r="AF230" s="18">
        <f>IF(DataTable[[#This Row],[explanation1]]="BR",1,IF(DataTable[[#This Row],[explanation2]]="BR",1,0))</f>
        <v>0</v>
      </c>
      <c r="AG230" s="18">
        <f>IF(DataTable[[#This Row],[explanation1]]="LS",1,IF(DataTable[[#This Row],[explanation2]]="LS",1,0))</f>
        <v>0</v>
      </c>
      <c r="AH230" s="37" t="s">
        <v>310</v>
      </c>
    </row>
    <row r="231" spans="1:34" x14ac:dyDescent="0.2">
      <c r="A231" s="13">
        <v>229</v>
      </c>
      <c r="B231" s="14" t="s">
        <v>64</v>
      </c>
      <c r="C231" s="15" t="s">
        <v>74</v>
      </c>
      <c r="D231" s="16">
        <v>50</v>
      </c>
      <c r="E231" s="14" t="s">
        <v>58</v>
      </c>
      <c r="F231" s="16">
        <v>53</v>
      </c>
      <c r="G231" s="14" t="s">
        <v>64</v>
      </c>
      <c r="H231" s="15" t="s">
        <v>48</v>
      </c>
      <c r="I231" s="16" t="str">
        <f t="shared" si="3"/>
        <v>M1</v>
      </c>
      <c r="J231" s="14" t="s">
        <v>78</v>
      </c>
      <c r="K231" s="16" t="s">
        <v>50</v>
      </c>
      <c r="L231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31" s="15">
        <f>IF(DataTable[[#This Row],[3x head (H)/tail (T)?]]=DataTable[[#This Row],[then 4th: H/T/B/0]],1,0)</f>
        <v>0</v>
      </c>
      <c r="N231" s="15">
        <f>IF(DataTable[[#This Row],[then 4th: H/T/B/0]]="B",1,0)</f>
        <v>1</v>
      </c>
      <c r="O231" s="14" t="s">
        <v>302</v>
      </c>
      <c r="P231" s="15">
        <v>21</v>
      </c>
      <c r="Q231" s="17" t="s">
        <v>71</v>
      </c>
      <c r="R231" s="16" t="s">
        <v>53</v>
      </c>
      <c r="S231" s="18" t="s">
        <v>61</v>
      </c>
      <c r="T231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4</v>
      </c>
      <c r="U231" s="19" t="s">
        <v>173</v>
      </c>
      <c r="V231" s="20" t="s">
        <v>8</v>
      </c>
      <c r="W231" s="20"/>
      <c r="X231" s="18"/>
      <c r="Y231" s="18">
        <f>IF(DataTable[[#This Row],[explanation1]]="BL",1,IF(DataTable[[#This Row],[explanation2]]="BL",1,IF(DataTable[[#This Row],[explanation1]]="BR",1,IF(DataTable[[#This Row],[explanation2]]="BR",1,0))))</f>
        <v>0</v>
      </c>
      <c r="Z231" s="18">
        <f>IF(DataTable[[#This Row],[explanation1]]="BL",1,IF(DataTable[[#This Row],[explanation2]]="BL",1,0))</f>
        <v>0</v>
      </c>
      <c r="AA231" s="18">
        <f>IF(DataTable[[#This Row],[explanation1]]="WJ",1,IF(DataTable[[#This Row],[explanation2]]="WJ",1,0))</f>
        <v>0</v>
      </c>
      <c r="AB231" s="18">
        <f>IF(DataTable[[#This Row],[explanation1]]="U",1,IF(DataTable[[#This Row],[explanation2]]="U",1,0))</f>
        <v>1</v>
      </c>
      <c r="AC231" s="18">
        <f>IF(DataTable[[#This Row],[explanation1]]="O",1,IF(DataTable[[#This Row],[explanation2]]="O",1,0))</f>
        <v>0</v>
      </c>
      <c r="AD231" s="18">
        <f>IF(DataTable[[#This Row],[explanation1]]="TP",1,IF(DataTable[[#This Row],[explanation2]]="TP",1,0))</f>
        <v>0</v>
      </c>
      <c r="AE231" s="18">
        <f>IF(DataTable[[#This Row],[explanation1]]="WP",1,IF(DataTable[[#This Row],[explanation2]]="WP",1,0))</f>
        <v>0</v>
      </c>
      <c r="AF231" s="18">
        <f>IF(DataTable[[#This Row],[explanation1]]="BR",1,IF(DataTable[[#This Row],[explanation2]]="BR",1,0))</f>
        <v>0</v>
      </c>
      <c r="AG231" s="18">
        <f>IF(DataTable[[#This Row],[explanation1]]="LS",1,IF(DataTable[[#This Row],[explanation2]]="LS",1,0))</f>
        <v>0</v>
      </c>
      <c r="AH231" s="30" t="s">
        <v>311</v>
      </c>
    </row>
    <row r="232" spans="1:34" x14ac:dyDescent="0.2">
      <c r="A232" s="22">
        <v>230</v>
      </c>
      <c r="B232" s="23" t="s">
        <v>64</v>
      </c>
      <c r="C232" s="24" t="s">
        <v>74</v>
      </c>
      <c r="D232" s="25">
        <v>50</v>
      </c>
      <c r="E232" s="23" t="s">
        <v>46</v>
      </c>
      <c r="F232" s="25">
        <v>36</v>
      </c>
      <c r="G232" s="23" t="s">
        <v>47</v>
      </c>
      <c r="H232" s="24" t="s">
        <v>48</v>
      </c>
      <c r="I232" s="25" t="str">
        <f t="shared" si="3"/>
        <v>R</v>
      </c>
      <c r="J232" s="23" t="s">
        <v>78</v>
      </c>
      <c r="K232" s="25" t="s">
        <v>50</v>
      </c>
      <c r="L232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32" s="24">
        <f>IF(DataTable[[#This Row],[3x head (H)/tail (T)?]]=DataTable[[#This Row],[then 4th: H/T/B/0]],1,0)</f>
        <v>0</v>
      </c>
      <c r="N232" s="24">
        <f>IF(DataTable[[#This Row],[then 4th: H/T/B/0]]="B",1,0)</f>
        <v>1</v>
      </c>
      <c r="O232" s="23" t="s">
        <v>302</v>
      </c>
      <c r="P232" s="24">
        <v>21</v>
      </c>
      <c r="Q232" s="26" t="s">
        <v>406</v>
      </c>
      <c r="R232" s="25" t="s">
        <v>53</v>
      </c>
      <c r="S232" s="27" t="s">
        <v>75</v>
      </c>
      <c r="T232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232" s="28" t="s">
        <v>76</v>
      </c>
      <c r="V232" s="29" t="s">
        <v>208</v>
      </c>
      <c r="W232" s="29"/>
      <c r="X232" s="27"/>
      <c r="Y232" s="27">
        <f>IF(DataTable[[#This Row],[explanation1]]="BL",1,IF(DataTable[[#This Row],[explanation2]]="BL",1,IF(DataTable[[#This Row],[explanation1]]="BR",1,IF(DataTable[[#This Row],[explanation2]]="BR",1,0))))</f>
        <v>0</v>
      </c>
      <c r="Z232" s="18">
        <f>IF(DataTable[[#This Row],[explanation1]]="BL",1,IF(DataTable[[#This Row],[explanation2]]="BL",1,0))</f>
        <v>0</v>
      </c>
      <c r="AA232" s="18">
        <f>IF(DataTable[[#This Row],[explanation1]]="WJ",1,IF(DataTable[[#This Row],[explanation2]]="WJ",1,0))</f>
        <v>0</v>
      </c>
      <c r="AB232" s="18">
        <f>IF(DataTable[[#This Row],[explanation1]]="U",1,IF(DataTable[[#This Row],[explanation2]]="U",1,0))</f>
        <v>0</v>
      </c>
      <c r="AC232" s="18">
        <f>IF(DataTable[[#This Row],[explanation1]]="O",1,IF(DataTable[[#This Row],[explanation2]]="O",1,0))</f>
        <v>0</v>
      </c>
      <c r="AD232" s="18">
        <f>IF(DataTable[[#This Row],[explanation1]]="TP",1,IF(DataTable[[#This Row],[explanation2]]="TP",1,0))</f>
        <v>0</v>
      </c>
      <c r="AE232" s="18">
        <f>IF(DataTable[[#This Row],[explanation1]]="WP",1,IF(DataTable[[#This Row],[explanation2]]="WP",1,0))</f>
        <v>0</v>
      </c>
      <c r="AF232" s="18">
        <f>IF(DataTable[[#This Row],[explanation1]]="BR",1,IF(DataTable[[#This Row],[explanation2]]="BR",1,0))</f>
        <v>0</v>
      </c>
      <c r="AG232" s="18">
        <f>IF(DataTable[[#This Row],[explanation1]]="LS",1,IF(DataTable[[#This Row],[explanation2]]="LS",1,0))</f>
        <v>0</v>
      </c>
      <c r="AH232" s="37" t="s">
        <v>11</v>
      </c>
    </row>
    <row r="233" spans="1:34" x14ac:dyDescent="0.2">
      <c r="A233" s="13">
        <v>231</v>
      </c>
      <c r="B233" s="14" t="s">
        <v>70</v>
      </c>
      <c r="C233" s="15" t="s">
        <v>74</v>
      </c>
      <c r="D233" s="16">
        <v>1</v>
      </c>
      <c r="E233" s="14" t="s">
        <v>58</v>
      </c>
      <c r="F233" s="16">
        <v>67</v>
      </c>
      <c r="G233" s="14" t="s">
        <v>47</v>
      </c>
      <c r="H233" s="15" t="s">
        <v>48</v>
      </c>
      <c r="I233" s="16" t="str">
        <f t="shared" si="3"/>
        <v>R</v>
      </c>
      <c r="J233" s="14" t="s">
        <v>78</v>
      </c>
      <c r="K233" s="16" t="s">
        <v>49</v>
      </c>
      <c r="L233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233" s="15">
        <f>IF(DataTable[[#This Row],[3x head (H)/tail (T)?]]=DataTable[[#This Row],[then 4th: H/T/B/0]],1,0)</f>
        <v>0</v>
      </c>
      <c r="N233" s="15">
        <f>IF(DataTable[[#This Row],[then 4th: H/T/B/0]]="B",1,0)</f>
        <v>0</v>
      </c>
      <c r="O233" s="14" t="s">
        <v>302</v>
      </c>
      <c r="P233" s="15">
        <v>21</v>
      </c>
      <c r="Q233" s="17" t="s">
        <v>71</v>
      </c>
      <c r="R233" s="16" t="s">
        <v>53</v>
      </c>
      <c r="S233" s="18" t="s">
        <v>65</v>
      </c>
      <c r="T233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233" s="19" t="s">
        <v>95</v>
      </c>
      <c r="V233" s="20" t="s">
        <v>8</v>
      </c>
      <c r="W233" s="20"/>
      <c r="X233" s="18" t="s">
        <v>312</v>
      </c>
      <c r="Y233" s="18">
        <f>IF(DataTable[[#This Row],[explanation1]]="BL",1,IF(DataTable[[#This Row],[explanation2]]="BL",1,IF(DataTable[[#This Row],[explanation1]]="BR",1,IF(DataTable[[#This Row],[explanation2]]="BR",1,0))))</f>
        <v>0</v>
      </c>
      <c r="Z233" s="18">
        <f>IF(DataTable[[#This Row],[explanation1]]="BL",1,IF(DataTable[[#This Row],[explanation2]]="BL",1,0))</f>
        <v>0</v>
      </c>
      <c r="AA233" s="18">
        <f>IF(DataTable[[#This Row],[explanation1]]="WJ",1,IF(DataTable[[#This Row],[explanation2]]="WJ",1,0))</f>
        <v>0</v>
      </c>
      <c r="AB233" s="18">
        <f>IF(DataTable[[#This Row],[explanation1]]="U",1,IF(DataTable[[#This Row],[explanation2]]="U",1,0))</f>
        <v>1</v>
      </c>
      <c r="AC233" s="18">
        <f>IF(DataTable[[#This Row],[explanation1]]="O",1,IF(DataTable[[#This Row],[explanation2]]="O",1,0))</f>
        <v>0</v>
      </c>
      <c r="AD233" s="18">
        <f>IF(DataTable[[#This Row],[explanation1]]="TP",1,IF(DataTable[[#This Row],[explanation2]]="TP",1,0))</f>
        <v>0</v>
      </c>
      <c r="AE233" s="18">
        <f>IF(DataTable[[#This Row],[explanation1]]="WP",1,IF(DataTable[[#This Row],[explanation2]]="WP",1,0))</f>
        <v>0</v>
      </c>
      <c r="AF233" s="18">
        <f>IF(DataTable[[#This Row],[explanation1]]="BR",1,IF(DataTable[[#This Row],[explanation2]]="BR",1,0))</f>
        <v>0</v>
      </c>
      <c r="AG233" s="18">
        <f>IF(DataTable[[#This Row],[explanation1]]="LS",1,IF(DataTable[[#This Row],[explanation2]]="LS",1,0))</f>
        <v>0</v>
      </c>
      <c r="AH233" s="30" t="s">
        <v>313</v>
      </c>
    </row>
    <row r="234" spans="1:34" x14ac:dyDescent="0.2">
      <c r="A234" s="22">
        <v>232</v>
      </c>
      <c r="B234" s="23" t="s">
        <v>70</v>
      </c>
      <c r="C234" s="24" t="s">
        <v>74</v>
      </c>
      <c r="D234" s="25">
        <v>50</v>
      </c>
      <c r="E234" s="23" t="s">
        <v>58</v>
      </c>
      <c r="F234" s="25">
        <v>38</v>
      </c>
      <c r="G234" s="23" t="s">
        <v>47</v>
      </c>
      <c r="H234" s="24" t="s">
        <v>48</v>
      </c>
      <c r="I234" s="25" t="str">
        <f t="shared" si="3"/>
        <v>R</v>
      </c>
      <c r="J234" s="23" t="s">
        <v>78</v>
      </c>
      <c r="K234" s="25" t="s">
        <v>50</v>
      </c>
      <c r="L234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34" s="24">
        <f>IF(DataTable[[#This Row],[3x head (H)/tail (T)?]]=DataTable[[#This Row],[then 4th: H/T/B/0]],1,0)</f>
        <v>0</v>
      </c>
      <c r="N234" s="24">
        <f>IF(DataTable[[#This Row],[then 4th: H/T/B/0]]="B",1,0)</f>
        <v>1</v>
      </c>
      <c r="O234" s="23" t="s">
        <v>302</v>
      </c>
      <c r="P234" s="24">
        <v>21</v>
      </c>
      <c r="Q234" s="26" t="s">
        <v>71</v>
      </c>
      <c r="R234" s="25" t="s">
        <v>53</v>
      </c>
      <c r="S234" s="27" t="s">
        <v>75</v>
      </c>
      <c r="T234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234" s="28" t="s">
        <v>76</v>
      </c>
      <c r="V234" s="29" t="s">
        <v>6</v>
      </c>
      <c r="W234" s="29"/>
      <c r="X234" s="27"/>
      <c r="Y234" s="27">
        <f>IF(DataTable[[#This Row],[explanation1]]="BL",1,IF(DataTable[[#This Row],[explanation2]]="BL",1,IF(DataTable[[#This Row],[explanation1]]="BR",1,IF(DataTable[[#This Row],[explanation2]]="BR",1,0))))</f>
        <v>1</v>
      </c>
      <c r="Z234" s="18">
        <f>IF(DataTable[[#This Row],[explanation1]]="BL",1,IF(DataTable[[#This Row],[explanation2]]="BL",1,0))</f>
        <v>1</v>
      </c>
      <c r="AA234" s="18">
        <f>IF(DataTable[[#This Row],[explanation1]]="WJ",1,IF(DataTable[[#This Row],[explanation2]]="WJ",1,0))</f>
        <v>0</v>
      </c>
      <c r="AB234" s="18">
        <f>IF(DataTable[[#This Row],[explanation1]]="U",1,IF(DataTable[[#This Row],[explanation2]]="U",1,0))</f>
        <v>0</v>
      </c>
      <c r="AC234" s="18">
        <f>IF(DataTable[[#This Row],[explanation1]]="O",1,IF(DataTable[[#This Row],[explanation2]]="O",1,0))</f>
        <v>0</v>
      </c>
      <c r="AD234" s="18">
        <f>IF(DataTable[[#This Row],[explanation1]]="TP",1,IF(DataTable[[#This Row],[explanation2]]="TP",1,0))</f>
        <v>0</v>
      </c>
      <c r="AE234" s="18">
        <f>IF(DataTable[[#This Row],[explanation1]]="WP",1,IF(DataTable[[#This Row],[explanation2]]="WP",1,0))</f>
        <v>0</v>
      </c>
      <c r="AF234" s="18">
        <f>IF(DataTable[[#This Row],[explanation1]]="BR",1,IF(DataTable[[#This Row],[explanation2]]="BR",1,0))</f>
        <v>0</v>
      </c>
      <c r="AG234" s="18">
        <f>IF(DataTable[[#This Row],[explanation1]]="LS",1,IF(DataTable[[#This Row],[explanation2]]="LS",1,0))</f>
        <v>0</v>
      </c>
      <c r="AH234" s="37" t="s">
        <v>295</v>
      </c>
    </row>
    <row r="235" spans="1:34" x14ac:dyDescent="0.2">
      <c r="A235" s="13">
        <v>233</v>
      </c>
      <c r="B235" s="14" t="s">
        <v>70</v>
      </c>
      <c r="C235" s="15" t="s">
        <v>74</v>
      </c>
      <c r="D235" s="16">
        <v>50</v>
      </c>
      <c r="E235" s="14" t="s">
        <v>58</v>
      </c>
      <c r="F235" s="16">
        <v>44</v>
      </c>
      <c r="G235" s="14" t="s">
        <v>47</v>
      </c>
      <c r="H235" s="15" t="s">
        <v>48</v>
      </c>
      <c r="I235" s="16" t="str">
        <f t="shared" si="3"/>
        <v>R</v>
      </c>
      <c r="J235" s="14" t="s">
        <v>78</v>
      </c>
      <c r="K235" s="16" t="s">
        <v>49</v>
      </c>
      <c r="L235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235" s="15">
        <f>IF(DataTable[[#This Row],[3x head (H)/tail (T)?]]=DataTable[[#This Row],[then 4th: H/T/B/0]],1,0)</f>
        <v>0</v>
      </c>
      <c r="N235" s="15">
        <f>IF(DataTable[[#This Row],[then 4th: H/T/B/0]]="B",1,0)</f>
        <v>0</v>
      </c>
      <c r="O235" s="14" t="s">
        <v>302</v>
      </c>
      <c r="P235" s="15">
        <v>21</v>
      </c>
      <c r="Q235" s="17" t="s">
        <v>406</v>
      </c>
      <c r="R235" s="16" t="s">
        <v>53</v>
      </c>
      <c r="S235" s="18" t="s">
        <v>75</v>
      </c>
      <c r="T235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235" s="19" t="s">
        <v>76</v>
      </c>
      <c r="V235" s="20" t="s">
        <v>11</v>
      </c>
      <c r="W235" s="20"/>
      <c r="X235" s="18"/>
      <c r="Y235" s="18">
        <f>IF(DataTable[[#This Row],[explanation1]]="BL",1,IF(DataTable[[#This Row],[explanation2]]="BL",1,IF(DataTable[[#This Row],[explanation1]]="BR",1,IF(DataTable[[#This Row],[explanation2]]="BR",1,0))))</f>
        <v>0</v>
      </c>
      <c r="Z235" s="18">
        <f>IF(DataTable[[#This Row],[explanation1]]="BL",1,IF(DataTable[[#This Row],[explanation2]]="BL",1,0))</f>
        <v>0</v>
      </c>
      <c r="AA235" s="18">
        <f>IF(DataTable[[#This Row],[explanation1]]="WJ",1,IF(DataTable[[#This Row],[explanation2]]="WJ",1,0))</f>
        <v>0</v>
      </c>
      <c r="AB235" s="18">
        <f>IF(DataTable[[#This Row],[explanation1]]="U",1,IF(DataTable[[#This Row],[explanation2]]="U",1,0))</f>
        <v>0</v>
      </c>
      <c r="AC235" s="18">
        <f>IF(DataTable[[#This Row],[explanation1]]="O",1,IF(DataTable[[#This Row],[explanation2]]="O",1,0))</f>
        <v>0</v>
      </c>
      <c r="AD235" s="18">
        <f>IF(DataTable[[#This Row],[explanation1]]="TP",1,IF(DataTable[[#This Row],[explanation2]]="TP",1,0))</f>
        <v>0</v>
      </c>
      <c r="AE235" s="18">
        <f>IF(DataTable[[#This Row],[explanation1]]="WP",1,IF(DataTable[[#This Row],[explanation2]]="WP",1,0))</f>
        <v>1</v>
      </c>
      <c r="AF235" s="18">
        <f>IF(DataTable[[#This Row],[explanation1]]="BR",1,IF(DataTable[[#This Row],[explanation2]]="BR",1,0))</f>
        <v>0</v>
      </c>
      <c r="AG235" s="18">
        <f>IF(DataTable[[#This Row],[explanation1]]="LS",1,IF(DataTable[[#This Row],[explanation2]]="LS",1,0))</f>
        <v>0</v>
      </c>
      <c r="AH235" s="30" t="s">
        <v>11</v>
      </c>
    </row>
    <row r="236" spans="1:34" x14ac:dyDescent="0.2">
      <c r="A236" s="22">
        <v>234</v>
      </c>
      <c r="B236" s="23" t="s">
        <v>70</v>
      </c>
      <c r="C236" s="24" t="s">
        <v>45</v>
      </c>
      <c r="D236" s="25">
        <v>50</v>
      </c>
      <c r="E236" s="23" t="s">
        <v>46</v>
      </c>
      <c r="F236" s="25">
        <v>24</v>
      </c>
      <c r="G236" s="23" t="s">
        <v>70</v>
      </c>
      <c r="H236" s="24" t="s">
        <v>48</v>
      </c>
      <c r="I236" s="25" t="str">
        <f t="shared" si="3"/>
        <v>M5</v>
      </c>
      <c r="J236" s="23" t="s">
        <v>78</v>
      </c>
      <c r="K236" s="25" t="s">
        <v>50</v>
      </c>
      <c r="L236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36" s="24">
        <f>IF(DataTable[[#This Row],[3x head (H)/tail (T)?]]=DataTable[[#This Row],[then 4th: H/T/B/0]],1,0)</f>
        <v>0</v>
      </c>
      <c r="N236" s="24">
        <f>IF(DataTable[[#This Row],[then 4th: H/T/B/0]]="B",1,0)</f>
        <v>1</v>
      </c>
      <c r="O236" s="23" t="s">
        <v>302</v>
      </c>
      <c r="P236" s="24">
        <v>21</v>
      </c>
      <c r="Q236" s="26" t="s">
        <v>71</v>
      </c>
      <c r="R236" s="25" t="s">
        <v>53</v>
      </c>
      <c r="S236" s="27" t="s">
        <v>75</v>
      </c>
      <c r="T236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236" s="28" t="s">
        <v>76</v>
      </c>
      <c r="V236" s="29" t="s">
        <v>7</v>
      </c>
      <c r="W236" s="29" t="s">
        <v>13</v>
      </c>
      <c r="X236" s="27"/>
      <c r="Y236" s="27">
        <f>IF(DataTable[[#This Row],[explanation1]]="BL",1,IF(DataTable[[#This Row],[explanation2]]="BL",1,IF(DataTable[[#This Row],[explanation1]]="BR",1,IF(DataTable[[#This Row],[explanation2]]="BR",1,0))))</f>
        <v>0</v>
      </c>
      <c r="Z236" s="18">
        <f>IF(DataTable[[#This Row],[explanation1]]="BL",1,IF(DataTable[[#This Row],[explanation2]]="BL",1,0))</f>
        <v>0</v>
      </c>
      <c r="AA236" s="18">
        <f>IF(DataTable[[#This Row],[explanation1]]="WJ",1,IF(DataTable[[#This Row],[explanation2]]="WJ",1,0))</f>
        <v>1</v>
      </c>
      <c r="AB236" s="18">
        <f>IF(DataTable[[#This Row],[explanation1]]="U",1,IF(DataTable[[#This Row],[explanation2]]="U",1,0))</f>
        <v>0</v>
      </c>
      <c r="AC236" s="18">
        <f>IF(DataTable[[#This Row],[explanation1]]="O",1,IF(DataTable[[#This Row],[explanation2]]="O",1,0))</f>
        <v>0</v>
      </c>
      <c r="AD236" s="18">
        <f>IF(DataTable[[#This Row],[explanation1]]="TP",1,IF(DataTable[[#This Row],[explanation2]]="TP",1,0))</f>
        <v>0</v>
      </c>
      <c r="AE236" s="18">
        <f>IF(DataTable[[#This Row],[explanation1]]="WP",1,IF(DataTable[[#This Row],[explanation2]]="WP",1,0))</f>
        <v>0</v>
      </c>
      <c r="AF236" s="18">
        <f>IF(DataTable[[#This Row],[explanation1]]="BR",1,IF(DataTable[[#This Row],[explanation2]]="BR",1,0))</f>
        <v>0</v>
      </c>
      <c r="AG236" s="18">
        <f>IF(DataTable[[#This Row],[explanation1]]="LS",1,IF(DataTable[[#This Row],[explanation2]]="LS",1,0))</f>
        <v>1</v>
      </c>
      <c r="AH236" s="37" t="s">
        <v>314</v>
      </c>
    </row>
    <row r="237" spans="1:34" x14ac:dyDescent="0.2">
      <c r="A237" s="13">
        <v>235</v>
      </c>
      <c r="B237" s="14" t="s">
        <v>64</v>
      </c>
      <c r="C237" s="15" t="s">
        <v>45</v>
      </c>
      <c r="D237" s="16">
        <v>1</v>
      </c>
      <c r="E237" s="14" t="s">
        <v>46</v>
      </c>
      <c r="F237" s="16">
        <v>24</v>
      </c>
      <c r="G237" s="14" t="s">
        <v>47</v>
      </c>
      <c r="H237" s="15" t="s">
        <v>48</v>
      </c>
      <c r="I237" s="16" t="str">
        <f t="shared" si="3"/>
        <v>R</v>
      </c>
      <c r="J237" s="14" t="s">
        <v>49</v>
      </c>
      <c r="K237" s="16" t="s">
        <v>78</v>
      </c>
      <c r="L237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237" s="15">
        <f>IF(DataTable[[#This Row],[3x head (H)/tail (T)?]]=DataTable[[#This Row],[then 4th: H/T/B/0]],1,0)</f>
        <v>0</v>
      </c>
      <c r="N237" s="15">
        <f>IF(DataTable[[#This Row],[then 4th: H/T/B/0]]="B",1,0)</f>
        <v>0</v>
      </c>
      <c r="O237" s="14" t="s">
        <v>302</v>
      </c>
      <c r="P237" s="15">
        <v>21</v>
      </c>
      <c r="Q237" s="17" t="s">
        <v>71</v>
      </c>
      <c r="R237" s="16" t="s">
        <v>53</v>
      </c>
      <c r="S237" s="18" t="s">
        <v>65</v>
      </c>
      <c r="T237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237" s="19" t="s">
        <v>95</v>
      </c>
      <c r="V237" s="20" t="s">
        <v>6</v>
      </c>
      <c r="W237" s="20"/>
      <c r="X237" s="18"/>
      <c r="Y237" s="18">
        <f>IF(DataTable[[#This Row],[explanation1]]="BL",1,IF(DataTable[[#This Row],[explanation2]]="BL",1,IF(DataTable[[#This Row],[explanation1]]="BR",1,IF(DataTable[[#This Row],[explanation2]]="BR",1,0))))</f>
        <v>1</v>
      </c>
      <c r="Z237" s="18">
        <f>IF(DataTable[[#This Row],[explanation1]]="BL",1,IF(DataTable[[#This Row],[explanation2]]="BL",1,0))</f>
        <v>1</v>
      </c>
      <c r="AA237" s="18">
        <f>IF(DataTable[[#This Row],[explanation1]]="WJ",1,IF(DataTable[[#This Row],[explanation2]]="WJ",1,0))</f>
        <v>0</v>
      </c>
      <c r="AB237" s="18">
        <f>IF(DataTable[[#This Row],[explanation1]]="U",1,IF(DataTable[[#This Row],[explanation2]]="U",1,0))</f>
        <v>0</v>
      </c>
      <c r="AC237" s="18">
        <f>IF(DataTable[[#This Row],[explanation1]]="O",1,IF(DataTable[[#This Row],[explanation2]]="O",1,0))</f>
        <v>0</v>
      </c>
      <c r="AD237" s="18">
        <f>IF(DataTable[[#This Row],[explanation1]]="TP",1,IF(DataTable[[#This Row],[explanation2]]="TP",1,0))</f>
        <v>0</v>
      </c>
      <c r="AE237" s="18">
        <f>IF(DataTable[[#This Row],[explanation1]]="WP",1,IF(DataTable[[#This Row],[explanation2]]="WP",1,0))</f>
        <v>0</v>
      </c>
      <c r="AF237" s="18">
        <f>IF(DataTable[[#This Row],[explanation1]]="BR",1,IF(DataTable[[#This Row],[explanation2]]="BR",1,0))</f>
        <v>0</v>
      </c>
      <c r="AG237" s="18">
        <f>IF(DataTable[[#This Row],[explanation1]]="LS",1,IF(DataTable[[#This Row],[explanation2]]="LS",1,0))</f>
        <v>0</v>
      </c>
      <c r="AH237" s="30" t="s">
        <v>6</v>
      </c>
    </row>
    <row r="238" spans="1:34" x14ac:dyDescent="0.2">
      <c r="A238" s="22">
        <v>236</v>
      </c>
      <c r="B238" s="23" t="s">
        <v>70</v>
      </c>
      <c r="C238" s="24" t="s">
        <v>74</v>
      </c>
      <c r="D238" s="25">
        <v>1</v>
      </c>
      <c r="E238" s="23" t="s">
        <v>46</v>
      </c>
      <c r="F238" s="25">
        <v>66</v>
      </c>
      <c r="G238" s="23" t="s">
        <v>47</v>
      </c>
      <c r="H238" s="24" t="s">
        <v>48</v>
      </c>
      <c r="I238" s="25" t="str">
        <f t="shared" si="3"/>
        <v>R</v>
      </c>
      <c r="J238" s="38" t="s">
        <v>78</v>
      </c>
      <c r="K238" s="25" t="s">
        <v>49</v>
      </c>
      <c r="L238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238" s="24">
        <f>IF(DataTable[[#This Row],[3x head (H)/tail (T)?]]=DataTable[[#This Row],[then 4th: H/T/B/0]],1,0)</f>
        <v>0</v>
      </c>
      <c r="N238" s="24">
        <f>IF(DataTable[[#This Row],[then 4th: H/T/B/0]]="B",1,0)</f>
        <v>0</v>
      </c>
      <c r="O238" s="23" t="s">
        <v>302</v>
      </c>
      <c r="P238" s="24">
        <v>21</v>
      </c>
      <c r="Q238" s="26" t="s">
        <v>406</v>
      </c>
      <c r="R238" s="25" t="s">
        <v>53</v>
      </c>
      <c r="S238" s="27" t="s">
        <v>103</v>
      </c>
      <c r="T238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5</v>
      </c>
      <c r="U238" s="28" t="s">
        <v>247</v>
      </c>
      <c r="V238" s="29" t="s">
        <v>6</v>
      </c>
      <c r="W238" s="29"/>
      <c r="X238" s="27"/>
      <c r="Y238" s="27">
        <f>IF(DataTable[[#This Row],[explanation1]]="BL",1,IF(DataTable[[#This Row],[explanation2]]="BL",1,IF(DataTable[[#This Row],[explanation1]]="BR",1,IF(DataTable[[#This Row],[explanation2]]="BR",1,0))))</f>
        <v>1</v>
      </c>
      <c r="Z238" s="18">
        <f>IF(DataTable[[#This Row],[explanation1]]="BL",1,IF(DataTable[[#This Row],[explanation2]]="BL",1,0))</f>
        <v>1</v>
      </c>
      <c r="AA238" s="18">
        <f>IF(DataTable[[#This Row],[explanation1]]="WJ",1,IF(DataTable[[#This Row],[explanation2]]="WJ",1,0))</f>
        <v>0</v>
      </c>
      <c r="AB238" s="18">
        <f>IF(DataTable[[#This Row],[explanation1]]="U",1,IF(DataTable[[#This Row],[explanation2]]="U",1,0))</f>
        <v>0</v>
      </c>
      <c r="AC238" s="18">
        <f>IF(DataTable[[#This Row],[explanation1]]="O",1,IF(DataTable[[#This Row],[explanation2]]="O",1,0))</f>
        <v>0</v>
      </c>
      <c r="AD238" s="18">
        <f>IF(DataTable[[#This Row],[explanation1]]="TP",1,IF(DataTable[[#This Row],[explanation2]]="TP",1,0))</f>
        <v>0</v>
      </c>
      <c r="AE238" s="18">
        <f>IF(DataTable[[#This Row],[explanation1]]="WP",1,IF(DataTable[[#This Row],[explanation2]]="WP",1,0))</f>
        <v>0</v>
      </c>
      <c r="AF238" s="18">
        <f>IF(DataTable[[#This Row],[explanation1]]="BR",1,IF(DataTable[[#This Row],[explanation2]]="BR",1,0))</f>
        <v>0</v>
      </c>
      <c r="AG238" s="18">
        <f>IF(DataTable[[#This Row],[explanation1]]="LS",1,IF(DataTable[[#This Row],[explanation2]]="LS",1,0))</f>
        <v>0</v>
      </c>
      <c r="AH238" s="37" t="s">
        <v>6</v>
      </c>
    </row>
    <row r="239" spans="1:34" x14ac:dyDescent="0.2">
      <c r="A239" s="13">
        <v>237</v>
      </c>
      <c r="B239" s="14" t="s">
        <v>57</v>
      </c>
      <c r="C239" s="15" t="s">
        <v>74</v>
      </c>
      <c r="D239" s="16">
        <v>1</v>
      </c>
      <c r="E239" s="14" t="s">
        <v>46</v>
      </c>
      <c r="F239" s="16">
        <v>54</v>
      </c>
      <c r="G239" s="14" t="s">
        <v>47</v>
      </c>
      <c r="H239" s="15" t="s">
        <v>48</v>
      </c>
      <c r="I239" s="16" t="str">
        <f t="shared" si="3"/>
        <v>R</v>
      </c>
      <c r="J239" s="39" t="s">
        <v>78</v>
      </c>
      <c r="K239" s="16" t="s">
        <v>49</v>
      </c>
      <c r="L239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239" s="15">
        <f>IF(DataTable[[#This Row],[3x head (H)/tail (T)?]]=DataTable[[#This Row],[then 4th: H/T/B/0]],1,0)</f>
        <v>0</v>
      </c>
      <c r="N239" s="15">
        <f>IF(DataTable[[#This Row],[then 4th: H/T/B/0]]="B",1,0)</f>
        <v>0</v>
      </c>
      <c r="O239" s="14" t="s">
        <v>302</v>
      </c>
      <c r="P239" s="15">
        <v>21</v>
      </c>
      <c r="Q239" s="17" t="s">
        <v>406</v>
      </c>
      <c r="R239" s="16" t="s">
        <v>53</v>
      </c>
      <c r="S239" s="18" t="s">
        <v>103</v>
      </c>
      <c r="T239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5</v>
      </c>
      <c r="U239" s="19" t="s">
        <v>213</v>
      </c>
      <c r="V239" s="20" t="s">
        <v>6</v>
      </c>
      <c r="W239" s="20"/>
      <c r="X239" s="18"/>
      <c r="Y239" s="18">
        <f>IF(DataTable[[#This Row],[explanation1]]="BL",1,IF(DataTable[[#This Row],[explanation2]]="BL",1,IF(DataTable[[#This Row],[explanation1]]="BR",1,IF(DataTable[[#This Row],[explanation2]]="BR",1,0))))</f>
        <v>1</v>
      </c>
      <c r="Z239" s="18">
        <f>IF(DataTable[[#This Row],[explanation1]]="BL",1,IF(DataTable[[#This Row],[explanation2]]="BL",1,0))</f>
        <v>1</v>
      </c>
      <c r="AA239" s="18">
        <f>IF(DataTable[[#This Row],[explanation1]]="WJ",1,IF(DataTable[[#This Row],[explanation2]]="WJ",1,0))</f>
        <v>0</v>
      </c>
      <c r="AB239" s="18">
        <f>IF(DataTable[[#This Row],[explanation1]]="U",1,IF(DataTable[[#This Row],[explanation2]]="U",1,0))</f>
        <v>0</v>
      </c>
      <c r="AC239" s="18">
        <f>IF(DataTable[[#This Row],[explanation1]]="O",1,IF(DataTable[[#This Row],[explanation2]]="O",1,0))</f>
        <v>0</v>
      </c>
      <c r="AD239" s="18">
        <f>IF(DataTable[[#This Row],[explanation1]]="TP",1,IF(DataTable[[#This Row],[explanation2]]="TP",1,0))</f>
        <v>0</v>
      </c>
      <c r="AE239" s="18">
        <f>IF(DataTable[[#This Row],[explanation1]]="WP",1,IF(DataTable[[#This Row],[explanation2]]="WP",1,0))</f>
        <v>0</v>
      </c>
      <c r="AF239" s="18">
        <f>IF(DataTable[[#This Row],[explanation1]]="BR",1,IF(DataTable[[#This Row],[explanation2]]="BR",1,0))</f>
        <v>0</v>
      </c>
      <c r="AG239" s="18">
        <f>IF(DataTable[[#This Row],[explanation1]]="LS",1,IF(DataTable[[#This Row],[explanation2]]="LS",1,0))</f>
        <v>0</v>
      </c>
      <c r="AH239" s="30" t="s">
        <v>6</v>
      </c>
    </row>
    <row r="240" spans="1:34" x14ac:dyDescent="0.2">
      <c r="A240" s="22">
        <v>238</v>
      </c>
      <c r="B240" s="23" t="s">
        <v>57</v>
      </c>
      <c r="C240" s="24" t="s">
        <v>74</v>
      </c>
      <c r="D240" s="25">
        <v>1</v>
      </c>
      <c r="E240" s="23" t="s">
        <v>46</v>
      </c>
      <c r="F240" s="25">
        <v>64</v>
      </c>
      <c r="G240" s="23" t="s">
        <v>47</v>
      </c>
      <c r="H240" s="24" t="s">
        <v>48</v>
      </c>
      <c r="I240" s="25" t="str">
        <f t="shared" si="3"/>
        <v>R</v>
      </c>
      <c r="J240" s="23" t="s">
        <v>78</v>
      </c>
      <c r="K240" s="25" t="s">
        <v>49</v>
      </c>
      <c r="L240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240" s="24">
        <f>IF(DataTable[[#This Row],[3x head (H)/tail (T)?]]=DataTable[[#This Row],[then 4th: H/T/B/0]],1,0)</f>
        <v>0</v>
      </c>
      <c r="N240" s="24">
        <f>IF(DataTable[[#This Row],[then 4th: H/T/B/0]]="B",1,0)</f>
        <v>0</v>
      </c>
      <c r="O240" s="23" t="s">
        <v>315</v>
      </c>
      <c r="P240" s="24">
        <v>21</v>
      </c>
      <c r="Q240" s="26" t="s">
        <v>408</v>
      </c>
      <c r="R240" s="25" t="s">
        <v>53</v>
      </c>
      <c r="S240" s="37" t="s">
        <v>103</v>
      </c>
      <c r="T240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5</v>
      </c>
      <c r="U240" s="28" t="s">
        <v>248</v>
      </c>
      <c r="V240" s="29" t="s">
        <v>11</v>
      </c>
      <c r="W240" s="29" t="s">
        <v>6</v>
      </c>
      <c r="X240" s="27"/>
      <c r="Y240" s="27">
        <f>IF(DataTable[[#This Row],[explanation1]]="BL",1,IF(DataTable[[#This Row],[explanation2]]="BL",1,IF(DataTable[[#This Row],[explanation1]]="BR",1,IF(DataTable[[#This Row],[explanation2]]="BR",1,0))))</f>
        <v>1</v>
      </c>
      <c r="Z240" s="18">
        <f>IF(DataTable[[#This Row],[explanation1]]="BL",1,IF(DataTable[[#This Row],[explanation2]]="BL",1,0))</f>
        <v>1</v>
      </c>
      <c r="AA240" s="18">
        <f>IF(DataTable[[#This Row],[explanation1]]="WJ",1,IF(DataTable[[#This Row],[explanation2]]="WJ",1,0))</f>
        <v>0</v>
      </c>
      <c r="AB240" s="18">
        <f>IF(DataTable[[#This Row],[explanation1]]="U",1,IF(DataTable[[#This Row],[explanation2]]="U",1,0))</f>
        <v>0</v>
      </c>
      <c r="AC240" s="18">
        <f>IF(DataTable[[#This Row],[explanation1]]="O",1,IF(DataTable[[#This Row],[explanation2]]="O",1,0))</f>
        <v>0</v>
      </c>
      <c r="AD240" s="18">
        <f>IF(DataTable[[#This Row],[explanation1]]="TP",1,IF(DataTable[[#This Row],[explanation2]]="TP",1,0))</f>
        <v>0</v>
      </c>
      <c r="AE240" s="18">
        <f>IF(DataTable[[#This Row],[explanation1]]="WP",1,IF(DataTable[[#This Row],[explanation2]]="WP",1,0))</f>
        <v>1</v>
      </c>
      <c r="AF240" s="18">
        <f>IF(DataTable[[#This Row],[explanation1]]="BR",1,IF(DataTable[[#This Row],[explanation2]]="BR",1,0))</f>
        <v>0</v>
      </c>
      <c r="AG240" s="18">
        <f>IF(DataTable[[#This Row],[explanation1]]="LS",1,IF(DataTable[[#This Row],[explanation2]]="LS",1,0))</f>
        <v>0</v>
      </c>
      <c r="AH240" s="37" t="s">
        <v>288</v>
      </c>
    </row>
    <row r="241" spans="1:34" x14ac:dyDescent="0.2">
      <c r="A241" s="13">
        <v>239</v>
      </c>
      <c r="B241" s="14" t="s">
        <v>57</v>
      </c>
      <c r="C241" s="15" t="s">
        <v>74</v>
      </c>
      <c r="D241" s="16">
        <v>1</v>
      </c>
      <c r="E241" s="14" t="s">
        <v>46</v>
      </c>
      <c r="F241" s="16">
        <v>31</v>
      </c>
      <c r="G241" s="14" t="s">
        <v>57</v>
      </c>
      <c r="H241" s="15" t="s">
        <v>48</v>
      </c>
      <c r="I241" s="16" t="str">
        <f t="shared" si="3"/>
        <v>H1</v>
      </c>
      <c r="J241" s="14" t="s">
        <v>49</v>
      </c>
      <c r="K241" s="16" t="s">
        <v>50</v>
      </c>
      <c r="L241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41" s="15">
        <f>IF(DataTable[[#This Row],[3x head (H)/tail (T)?]]=DataTable[[#This Row],[then 4th: H/T/B/0]],1,0)</f>
        <v>0</v>
      </c>
      <c r="N241" s="15">
        <f>IF(DataTable[[#This Row],[then 4th: H/T/B/0]]="B",1,0)</f>
        <v>1</v>
      </c>
      <c r="O241" s="14" t="s">
        <v>315</v>
      </c>
      <c r="P241" s="15">
        <v>21</v>
      </c>
      <c r="Q241" s="17" t="s">
        <v>411</v>
      </c>
      <c r="R241" s="16" t="s">
        <v>53</v>
      </c>
      <c r="S241" s="30" t="s">
        <v>65</v>
      </c>
      <c r="T241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241" s="19" t="s">
        <v>95</v>
      </c>
      <c r="V241" s="20" t="s">
        <v>8</v>
      </c>
      <c r="W241" s="20"/>
      <c r="X241" s="18" t="s">
        <v>204</v>
      </c>
      <c r="Y241" s="18">
        <f>IF(DataTable[[#This Row],[explanation1]]="BL",1,IF(DataTable[[#This Row],[explanation2]]="BL",1,IF(DataTable[[#This Row],[explanation1]]="BR",1,IF(DataTable[[#This Row],[explanation2]]="BR",1,0))))</f>
        <v>0</v>
      </c>
      <c r="Z241" s="18">
        <f>IF(DataTable[[#This Row],[explanation1]]="BL",1,IF(DataTable[[#This Row],[explanation2]]="BL",1,0))</f>
        <v>0</v>
      </c>
      <c r="AA241" s="18">
        <f>IF(DataTable[[#This Row],[explanation1]]="WJ",1,IF(DataTable[[#This Row],[explanation2]]="WJ",1,0))</f>
        <v>0</v>
      </c>
      <c r="AB241" s="18">
        <f>IF(DataTable[[#This Row],[explanation1]]="U",1,IF(DataTable[[#This Row],[explanation2]]="U",1,0))</f>
        <v>1</v>
      </c>
      <c r="AC241" s="18">
        <f>IF(DataTable[[#This Row],[explanation1]]="O",1,IF(DataTable[[#This Row],[explanation2]]="O",1,0))</f>
        <v>0</v>
      </c>
      <c r="AD241" s="18">
        <f>IF(DataTable[[#This Row],[explanation1]]="TP",1,IF(DataTable[[#This Row],[explanation2]]="TP",1,0))</f>
        <v>0</v>
      </c>
      <c r="AE241" s="18">
        <f>IF(DataTable[[#This Row],[explanation1]]="WP",1,IF(DataTable[[#This Row],[explanation2]]="WP",1,0))</f>
        <v>0</v>
      </c>
      <c r="AF241" s="18">
        <f>IF(DataTable[[#This Row],[explanation1]]="BR",1,IF(DataTable[[#This Row],[explanation2]]="BR",1,0))</f>
        <v>0</v>
      </c>
      <c r="AG241" s="18">
        <f>IF(DataTable[[#This Row],[explanation1]]="LS",1,IF(DataTable[[#This Row],[explanation2]]="LS",1,0))</f>
        <v>0</v>
      </c>
      <c r="AH241" s="30" t="s">
        <v>316</v>
      </c>
    </row>
    <row r="242" spans="1:34" x14ac:dyDescent="0.2">
      <c r="A242" s="22">
        <v>240</v>
      </c>
      <c r="B242" s="23" t="s">
        <v>57</v>
      </c>
      <c r="C242" s="24" t="s">
        <v>74</v>
      </c>
      <c r="D242" s="25">
        <v>1</v>
      </c>
      <c r="E242" s="23" t="s">
        <v>46</v>
      </c>
      <c r="F242" s="25">
        <v>48</v>
      </c>
      <c r="G242" s="23" t="s">
        <v>57</v>
      </c>
      <c r="H242" s="24" t="s">
        <v>48</v>
      </c>
      <c r="I242" s="25" t="str">
        <f t="shared" si="3"/>
        <v>H1</v>
      </c>
      <c r="J242" s="23" t="s">
        <v>49</v>
      </c>
      <c r="K242" s="25" t="s">
        <v>49</v>
      </c>
      <c r="L242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42" s="24">
        <f>IF(DataTable[[#This Row],[3x head (H)/tail (T)?]]=DataTable[[#This Row],[then 4th: H/T/B/0]],1,0)</f>
        <v>1</v>
      </c>
      <c r="N242" s="24">
        <f>IF(DataTable[[#This Row],[then 4th: H/T/B/0]]="B",1,0)</f>
        <v>0</v>
      </c>
      <c r="O242" s="23" t="s">
        <v>315</v>
      </c>
      <c r="P242" s="24">
        <v>21</v>
      </c>
      <c r="Q242" s="26" t="s">
        <v>408</v>
      </c>
      <c r="R242" s="25" t="s">
        <v>53</v>
      </c>
      <c r="S242" s="37" t="s">
        <v>103</v>
      </c>
      <c r="T242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5</v>
      </c>
      <c r="U242" s="28" t="s">
        <v>296</v>
      </c>
      <c r="V242" s="29" t="s">
        <v>8</v>
      </c>
      <c r="W242" s="29"/>
      <c r="X242" s="27" t="s">
        <v>204</v>
      </c>
      <c r="Y242" s="27">
        <f>IF(DataTable[[#This Row],[explanation1]]="BL",1,IF(DataTable[[#This Row],[explanation2]]="BL",1,IF(DataTable[[#This Row],[explanation1]]="BR",1,IF(DataTable[[#This Row],[explanation2]]="BR",1,0))))</f>
        <v>0</v>
      </c>
      <c r="Z242" s="18">
        <f>IF(DataTable[[#This Row],[explanation1]]="BL",1,IF(DataTable[[#This Row],[explanation2]]="BL",1,0))</f>
        <v>0</v>
      </c>
      <c r="AA242" s="18">
        <f>IF(DataTable[[#This Row],[explanation1]]="WJ",1,IF(DataTable[[#This Row],[explanation2]]="WJ",1,0))</f>
        <v>0</v>
      </c>
      <c r="AB242" s="18">
        <f>IF(DataTable[[#This Row],[explanation1]]="U",1,IF(DataTable[[#This Row],[explanation2]]="U",1,0))</f>
        <v>1</v>
      </c>
      <c r="AC242" s="18">
        <f>IF(DataTable[[#This Row],[explanation1]]="O",1,IF(DataTable[[#This Row],[explanation2]]="O",1,0))</f>
        <v>0</v>
      </c>
      <c r="AD242" s="18">
        <f>IF(DataTable[[#This Row],[explanation1]]="TP",1,IF(DataTable[[#This Row],[explanation2]]="TP",1,0))</f>
        <v>0</v>
      </c>
      <c r="AE242" s="18">
        <f>IF(DataTable[[#This Row],[explanation1]]="WP",1,IF(DataTable[[#This Row],[explanation2]]="WP",1,0))</f>
        <v>0</v>
      </c>
      <c r="AF242" s="18">
        <f>IF(DataTable[[#This Row],[explanation1]]="BR",1,IF(DataTable[[#This Row],[explanation2]]="BR",1,0))</f>
        <v>0</v>
      </c>
      <c r="AG242" s="18">
        <f>IF(DataTable[[#This Row],[explanation1]]="LS",1,IF(DataTable[[#This Row],[explanation2]]="LS",1,0))</f>
        <v>0</v>
      </c>
      <c r="AH242" s="37" t="s">
        <v>317</v>
      </c>
    </row>
    <row r="243" spans="1:34" x14ac:dyDescent="0.2">
      <c r="A243" s="13">
        <v>241</v>
      </c>
      <c r="B243" s="14" t="s">
        <v>57</v>
      </c>
      <c r="C243" s="15" t="s">
        <v>74</v>
      </c>
      <c r="D243" s="16">
        <v>50</v>
      </c>
      <c r="E243" s="14" t="s">
        <v>58</v>
      </c>
      <c r="F243" s="16">
        <v>72</v>
      </c>
      <c r="G243" s="14" t="s">
        <v>47</v>
      </c>
      <c r="H243" s="15" t="s">
        <v>48</v>
      </c>
      <c r="I243" s="16" t="str">
        <f t="shared" si="3"/>
        <v>R</v>
      </c>
      <c r="J243" s="14" t="s">
        <v>78</v>
      </c>
      <c r="K243" s="16" t="s">
        <v>49</v>
      </c>
      <c r="L243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243" s="15">
        <f>IF(DataTable[[#This Row],[3x head (H)/tail (T)?]]=DataTable[[#This Row],[then 4th: H/T/B/0]],1,0)</f>
        <v>0</v>
      </c>
      <c r="N243" s="15">
        <f>IF(DataTable[[#This Row],[then 4th: H/T/B/0]]="B",1,0)</f>
        <v>0</v>
      </c>
      <c r="O243" s="14" t="s">
        <v>315</v>
      </c>
      <c r="P243" s="15">
        <v>21</v>
      </c>
      <c r="Q243" s="17" t="s">
        <v>408</v>
      </c>
      <c r="R243" s="16" t="s">
        <v>53</v>
      </c>
      <c r="S243" s="30" t="s">
        <v>103</v>
      </c>
      <c r="T243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5</v>
      </c>
      <c r="U243" s="19" t="s">
        <v>111</v>
      </c>
      <c r="V243" s="20" t="s">
        <v>6</v>
      </c>
      <c r="W243" s="20"/>
      <c r="X243" s="18"/>
      <c r="Y243" s="18">
        <f>IF(DataTable[[#This Row],[explanation1]]="BL",1,IF(DataTable[[#This Row],[explanation2]]="BL",1,IF(DataTable[[#This Row],[explanation1]]="BR",1,IF(DataTable[[#This Row],[explanation2]]="BR",1,0))))</f>
        <v>1</v>
      </c>
      <c r="Z243" s="18">
        <f>IF(DataTable[[#This Row],[explanation1]]="BL",1,IF(DataTable[[#This Row],[explanation2]]="BL",1,0))</f>
        <v>1</v>
      </c>
      <c r="AA243" s="18">
        <f>IF(DataTable[[#This Row],[explanation1]]="WJ",1,IF(DataTable[[#This Row],[explanation2]]="WJ",1,0))</f>
        <v>0</v>
      </c>
      <c r="AB243" s="18">
        <f>IF(DataTable[[#This Row],[explanation1]]="U",1,IF(DataTable[[#This Row],[explanation2]]="U",1,0))</f>
        <v>0</v>
      </c>
      <c r="AC243" s="18">
        <f>IF(DataTable[[#This Row],[explanation1]]="O",1,IF(DataTable[[#This Row],[explanation2]]="O",1,0))</f>
        <v>0</v>
      </c>
      <c r="AD243" s="18">
        <f>IF(DataTable[[#This Row],[explanation1]]="TP",1,IF(DataTable[[#This Row],[explanation2]]="TP",1,0))</f>
        <v>0</v>
      </c>
      <c r="AE243" s="18">
        <f>IF(DataTable[[#This Row],[explanation1]]="WP",1,IF(DataTable[[#This Row],[explanation2]]="WP",1,0))</f>
        <v>0</v>
      </c>
      <c r="AF243" s="18">
        <f>IF(DataTable[[#This Row],[explanation1]]="BR",1,IF(DataTable[[#This Row],[explanation2]]="BR",1,0))</f>
        <v>0</v>
      </c>
      <c r="AG243" s="18">
        <f>IF(DataTable[[#This Row],[explanation1]]="LS",1,IF(DataTable[[#This Row],[explanation2]]="LS",1,0))</f>
        <v>0</v>
      </c>
      <c r="AH243" s="30" t="s">
        <v>295</v>
      </c>
    </row>
    <row r="244" spans="1:34" x14ac:dyDescent="0.2">
      <c r="A244" s="22">
        <v>242</v>
      </c>
      <c r="B244" s="23" t="s">
        <v>57</v>
      </c>
      <c r="C244" s="24" t="s">
        <v>45</v>
      </c>
      <c r="D244" s="25">
        <v>50</v>
      </c>
      <c r="E244" s="23" t="s">
        <v>58</v>
      </c>
      <c r="F244" s="25">
        <v>43</v>
      </c>
      <c r="G244" s="23" t="s">
        <v>47</v>
      </c>
      <c r="H244" s="24" t="s">
        <v>48</v>
      </c>
      <c r="I244" s="25" t="str">
        <f t="shared" si="3"/>
        <v>R</v>
      </c>
      <c r="J244" s="23" t="s">
        <v>78</v>
      </c>
      <c r="K244" s="25" t="s">
        <v>49</v>
      </c>
      <c r="L244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244" s="24">
        <f>IF(DataTable[[#This Row],[3x head (H)/tail (T)?]]=DataTable[[#This Row],[then 4th: H/T/B/0]],1,0)</f>
        <v>0</v>
      </c>
      <c r="N244" s="24">
        <f>IF(DataTable[[#This Row],[then 4th: H/T/B/0]]="B",1,0)</f>
        <v>0</v>
      </c>
      <c r="O244" s="23" t="s">
        <v>315</v>
      </c>
      <c r="P244" s="24">
        <v>21</v>
      </c>
      <c r="Q244" s="26" t="s">
        <v>408</v>
      </c>
      <c r="R244" s="25" t="s">
        <v>53</v>
      </c>
      <c r="S244" s="37" t="s">
        <v>103</v>
      </c>
      <c r="T244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5</v>
      </c>
      <c r="U244" s="28" t="s">
        <v>247</v>
      </c>
      <c r="V244" s="29" t="s">
        <v>6</v>
      </c>
      <c r="W244" s="29"/>
      <c r="X244" s="27"/>
      <c r="Y244" s="27">
        <f>IF(DataTable[[#This Row],[explanation1]]="BL",1,IF(DataTable[[#This Row],[explanation2]]="BL",1,IF(DataTable[[#This Row],[explanation1]]="BR",1,IF(DataTable[[#This Row],[explanation2]]="BR",1,0))))</f>
        <v>1</v>
      </c>
      <c r="Z244" s="18">
        <f>IF(DataTable[[#This Row],[explanation1]]="BL",1,IF(DataTable[[#This Row],[explanation2]]="BL",1,0))</f>
        <v>1</v>
      </c>
      <c r="AA244" s="18">
        <f>IF(DataTable[[#This Row],[explanation1]]="WJ",1,IF(DataTable[[#This Row],[explanation2]]="WJ",1,0))</f>
        <v>0</v>
      </c>
      <c r="AB244" s="18">
        <f>IF(DataTable[[#This Row],[explanation1]]="U",1,IF(DataTable[[#This Row],[explanation2]]="U",1,0))</f>
        <v>0</v>
      </c>
      <c r="AC244" s="18">
        <f>IF(DataTable[[#This Row],[explanation1]]="O",1,IF(DataTable[[#This Row],[explanation2]]="O",1,0))</f>
        <v>0</v>
      </c>
      <c r="AD244" s="18">
        <f>IF(DataTable[[#This Row],[explanation1]]="TP",1,IF(DataTable[[#This Row],[explanation2]]="TP",1,0))</f>
        <v>0</v>
      </c>
      <c r="AE244" s="18">
        <f>IF(DataTable[[#This Row],[explanation1]]="WP",1,IF(DataTable[[#This Row],[explanation2]]="WP",1,0))</f>
        <v>0</v>
      </c>
      <c r="AF244" s="18">
        <f>IF(DataTable[[#This Row],[explanation1]]="BR",1,IF(DataTable[[#This Row],[explanation2]]="BR",1,0))</f>
        <v>0</v>
      </c>
      <c r="AG244" s="18">
        <f>IF(DataTable[[#This Row],[explanation1]]="LS",1,IF(DataTable[[#This Row],[explanation2]]="LS",1,0))</f>
        <v>0</v>
      </c>
      <c r="AH244" s="37" t="s">
        <v>6</v>
      </c>
    </row>
    <row r="245" spans="1:34" x14ac:dyDescent="0.2">
      <c r="A245" s="13">
        <v>243</v>
      </c>
      <c r="B245" s="14" t="s">
        <v>68</v>
      </c>
      <c r="C245" s="15" t="s">
        <v>74</v>
      </c>
      <c r="D245" s="16">
        <v>1</v>
      </c>
      <c r="E245" s="14" t="s">
        <v>46</v>
      </c>
      <c r="F245" s="16">
        <v>50</v>
      </c>
      <c r="G245" s="14" t="s">
        <v>47</v>
      </c>
      <c r="H245" s="15" t="s">
        <v>48</v>
      </c>
      <c r="I245" s="16" t="str">
        <f t="shared" si="3"/>
        <v>R</v>
      </c>
      <c r="J245" s="14" t="s">
        <v>78</v>
      </c>
      <c r="K245" s="16" t="s">
        <v>49</v>
      </c>
      <c r="L245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245" s="15">
        <f>IF(DataTable[[#This Row],[3x head (H)/tail (T)?]]=DataTable[[#This Row],[then 4th: H/T/B/0]],1,0)</f>
        <v>0</v>
      </c>
      <c r="N245" s="15">
        <f>IF(DataTable[[#This Row],[then 4th: H/T/B/0]]="B",1,0)</f>
        <v>0</v>
      </c>
      <c r="O245" s="14" t="s">
        <v>315</v>
      </c>
      <c r="P245" s="15">
        <v>21</v>
      </c>
      <c r="Q245" s="17" t="s">
        <v>408</v>
      </c>
      <c r="R245" s="16" t="s">
        <v>53</v>
      </c>
      <c r="S245" s="30" t="s">
        <v>103</v>
      </c>
      <c r="T245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5</v>
      </c>
      <c r="U245" s="19" t="s">
        <v>213</v>
      </c>
      <c r="V245" s="20" t="s">
        <v>6</v>
      </c>
      <c r="W245" s="20"/>
      <c r="X245" s="18"/>
      <c r="Y245" s="18">
        <f>IF(DataTable[[#This Row],[explanation1]]="BL",1,IF(DataTable[[#This Row],[explanation2]]="BL",1,IF(DataTable[[#This Row],[explanation1]]="BR",1,IF(DataTable[[#This Row],[explanation2]]="BR",1,0))))</f>
        <v>1</v>
      </c>
      <c r="Z245" s="18">
        <f>IF(DataTable[[#This Row],[explanation1]]="BL",1,IF(DataTable[[#This Row],[explanation2]]="BL",1,0))</f>
        <v>1</v>
      </c>
      <c r="AA245" s="18">
        <f>IF(DataTable[[#This Row],[explanation1]]="WJ",1,IF(DataTable[[#This Row],[explanation2]]="WJ",1,0))</f>
        <v>0</v>
      </c>
      <c r="AB245" s="18">
        <f>IF(DataTable[[#This Row],[explanation1]]="U",1,IF(DataTable[[#This Row],[explanation2]]="U",1,0))</f>
        <v>0</v>
      </c>
      <c r="AC245" s="18">
        <f>IF(DataTable[[#This Row],[explanation1]]="O",1,IF(DataTable[[#This Row],[explanation2]]="O",1,0))</f>
        <v>0</v>
      </c>
      <c r="AD245" s="18">
        <f>IF(DataTable[[#This Row],[explanation1]]="TP",1,IF(DataTable[[#This Row],[explanation2]]="TP",1,0))</f>
        <v>0</v>
      </c>
      <c r="AE245" s="18">
        <f>IF(DataTable[[#This Row],[explanation1]]="WP",1,IF(DataTable[[#This Row],[explanation2]]="WP",1,0))</f>
        <v>0</v>
      </c>
      <c r="AF245" s="18">
        <f>IF(DataTable[[#This Row],[explanation1]]="BR",1,IF(DataTable[[#This Row],[explanation2]]="BR",1,0))</f>
        <v>0</v>
      </c>
      <c r="AG245" s="18">
        <f>IF(DataTable[[#This Row],[explanation1]]="LS",1,IF(DataTable[[#This Row],[explanation2]]="LS",1,0))</f>
        <v>0</v>
      </c>
      <c r="AH245" s="30" t="s">
        <v>6</v>
      </c>
    </row>
    <row r="246" spans="1:34" x14ac:dyDescent="0.2">
      <c r="A246" s="22">
        <v>244</v>
      </c>
      <c r="B246" s="23" t="s">
        <v>68</v>
      </c>
      <c r="C246" s="24" t="s">
        <v>74</v>
      </c>
      <c r="D246" s="25">
        <v>1</v>
      </c>
      <c r="E246" s="23" t="s">
        <v>58</v>
      </c>
      <c r="F246" s="25">
        <v>28</v>
      </c>
      <c r="G246" s="23" t="s">
        <v>47</v>
      </c>
      <c r="H246" s="24" t="s">
        <v>48</v>
      </c>
      <c r="I246" s="25" t="str">
        <f t="shared" si="3"/>
        <v>R</v>
      </c>
      <c r="J246" s="23" t="s">
        <v>49</v>
      </c>
      <c r="K246" s="25" t="s">
        <v>50</v>
      </c>
      <c r="L246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46" s="24">
        <f>IF(DataTable[[#This Row],[3x head (H)/tail (T)?]]=DataTable[[#This Row],[then 4th: H/T/B/0]],1,0)</f>
        <v>0</v>
      </c>
      <c r="N246" s="24">
        <f>IF(DataTable[[#This Row],[then 4th: H/T/B/0]]="B",1,0)</f>
        <v>1</v>
      </c>
      <c r="O246" s="23" t="s">
        <v>315</v>
      </c>
      <c r="P246" s="24">
        <v>21</v>
      </c>
      <c r="Q246" s="26" t="s">
        <v>411</v>
      </c>
      <c r="R246" s="25" t="s">
        <v>53</v>
      </c>
      <c r="S246" s="37" t="s">
        <v>65</v>
      </c>
      <c r="T246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246" s="28" t="s">
        <v>129</v>
      </c>
      <c r="V246" s="29" t="s">
        <v>6</v>
      </c>
      <c r="W246" s="29"/>
      <c r="X246" s="27"/>
      <c r="Y246" s="27">
        <f>IF(DataTable[[#This Row],[explanation1]]="BL",1,IF(DataTable[[#This Row],[explanation2]]="BL",1,IF(DataTable[[#This Row],[explanation1]]="BR",1,IF(DataTable[[#This Row],[explanation2]]="BR",1,0))))</f>
        <v>1</v>
      </c>
      <c r="Z246" s="18">
        <f>IF(DataTable[[#This Row],[explanation1]]="BL",1,IF(DataTable[[#This Row],[explanation2]]="BL",1,0))</f>
        <v>1</v>
      </c>
      <c r="AA246" s="18">
        <f>IF(DataTable[[#This Row],[explanation1]]="WJ",1,IF(DataTable[[#This Row],[explanation2]]="WJ",1,0))</f>
        <v>0</v>
      </c>
      <c r="AB246" s="18">
        <f>IF(DataTable[[#This Row],[explanation1]]="U",1,IF(DataTable[[#This Row],[explanation2]]="U",1,0))</f>
        <v>0</v>
      </c>
      <c r="AC246" s="18">
        <f>IF(DataTable[[#This Row],[explanation1]]="O",1,IF(DataTable[[#This Row],[explanation2]]="O",1,0))</f>
        <v>0</v>
      </c>
      <c r="AD246" s="18">
        <f>IF(DataTable[[#This Row],[explanation1]]="TP",1,IF(DataTable[[#This Row],[explanation2]]="TP",1,0))</f>
        <v>0</v>
      </c>
      <c r="AE246" s="18">
        <f>IF(DataTable[[#This Row],[explanation1]]="WP",1,IF(DataTable[[#This Row],[explanation2]]="WP",1,0))</f>
        <v>0</v>
      </c>
      <c r="AF246" s="18">
        <f>IF(DataTable[[#This Row],[explanation1]]="BR",1,IF(DataTable[[#This Row],[explanation2]]="BR",1,0))</f>
        <v>0</v>
      </c>
      <c r="AG246" s="18">
        <f>IF(DataTable[[#This Row],[explanation1]]="LS",1,IF(DataTable[[#This Row],[explanation2]]="LS",1,0))</f>
        <v>0</v>
      </c>
      <c r="AH246" s="37" t="s">
        <v>6</v>
      </c>
    </row>
    <row r="247" spans="1:34" x14ac:dyDescent="0.2">
      <c r="A247" s="13">
        <v>245</v>
      </c>
      <c r="B247" s="14" t="s">
        <v>68</v>
      </c>
      <c r="C247" s="15" t="s">
        <v>74</v>
      </c>
      <c r="D247" s="16">
        <v>1</v>
      </c>
      <c r="E247" s="14" t="s">
        <v>46</v>
      </c>
      <c r="F247" s="16">
        <v>39</v>
      </c>
      <c r="G247" s="14" t="s">
        <v>68</v>
      </c>
      <c r="H247" s="15" t="s">
        <v>81</v>
      </c>
      <c r="I247" s="16" t="str">
        <f t="shared" si="3"/>
        <v>R</v>
      </c>
      <c r="J247" s="14" t="s">
        <v>49</v>
      </c>
      <c r="K247" s="16" t="s">
        <v>49</v>
      </c>
      <c r="L247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47" s="15">
        <f>IF(DataTable[[#This Row],[3x head (H)/tail (T)?]]=DataTable[[#This Row],[then 4th: H/T/B/0]],1,0)</f>
        <v>1</v>
      </c>
      <c r="N247" s="15">
        <f>IF(DataTable[[#This Row],[then 4th: H/T/B/0]]="B",1,0)</f>
        <v>0</v>
      </c>
      <c r="O247" s="14" t="s">
        <v>315</v>
      </c>
      <c r="P247" s="15">
        <v>21</v>
      </c>
      <c r="Q247" s="17" t="s">
        <v>408</v>
      </c>
      <c r="R247" s="16" t="s">
        <v>53</v>
      </c>
      <c r="S247" s="30" t="s">
        <v>103</v>
      </c>
      <c r="T247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5</v>
      </c>
      <c r="U247" s="19" t="s">
        <v>296</v>
      </c>
      <c r="V247" s="20" t="s">
        <v>13</v>
      </c>
      <c r="W247" s="20"/>
      <c r="X247" s="18"/>
      <c r="Y247" s="18">
        <f>IF(DataTable[[#This Row],[explanation1]]="BL",1,IF(DataTable[[#This Row],[explanation2]]="BL",1,IF(DataTable[[#This Row],[explanation1]]="BR",1,IF(DataTable[[#This Row],[explanation2]]="BR",1,0))))</f>
        <v>0</v>
      </c>
      <c r="Z247" s="18">
        <f>IF(DataTable[[#This Row],[explanation1]]="BL",1,IF(DataTable[[#This Row],[explanation2]]="BL",1,0))</f>
        <v>0</v>
      </c>
      <c r="AA247" s="18">
        <f>IF(DataTable[[#This Row],[explanation1]]="WJ",1,IF(DataTable[[#This Row],[explanation2]]="WJ",1,0))</f>
        <v>0</v>
      </c>
      <c r="AB247" s="18">
        <f>IF(DataTable[[#This Row],[explanation1]]="U",1,IF(DataTable[[#This Row],[explanation2]]="U",1,0))</f>
        <v>0</v>
      </c>
      <c r="AC247" s="18">
        <f>IF(DataTable[[#This Row],[explanation1]]="O",1,IF(DataTable[[#This Row],[explanation2]]="O",1,0))</f>
        <v>0</v>
      </c>
      <c r="AD247" s="18">
        <f>IF(DataTable[[#This Row],[explanation1]]="TP",1,IF(DataTable[[#This Row],[explanation2]]="TP",1,0))</f>
        <v>0</v>
      </c>
      <c r="AE247" s="18">
        <f>IF(DataTable[[#This Row],[explanation1]]="WP",1,IF(DataTable[[#This Row],[explanation2]]="WP",1,0))</f>
        <v>0</v>
      </c>
      <c r="AF247" s="18">
        <f>IF(DataTable[[#This Row],[explanation1]]="BR",1,IF(DataTable[[#This Row],[explanation2]]="BR",1,0))</f>
        <v>0</v>
      </c>
      <c r="AG247" s="18">
        <f>IF(DataTable[[#This Row],[explanation1]]="LS",1,IF(DataTable[[#This Row],[explanation2]]="LS",1,0))</f>
        <v>1</v>
      </c>
      <c r="AH247" s="30" t="s">
        <v>270</v>
      </c>
    </row>
    <row r="248" spans="1:34" x14ac:dyDescent="0.2">
      <c r="A248" s="22">
        <v>246</v>
      </c>
      <c r="B248" s="23" t="s">
        <v>68</v>
      </c>
      <c r="C248" s="24" t="s">
        <v>74</v>
      </c>
      <c r="D248" s="25">
        <v>50</v>
      </c>
      <c r="E248" s="23" t="s">
        <v>46</v>
      </c>
      <c r="F248" s="25">
        <v>38</v>
      </c>
      <c r="G248" s="23" t="s">
        <v>47</v>
      </c>
      <c r="H248" s="24" t="s">
        <v>48</v>
      </c>
      <c r="I248" s="25" t="str">
        <f t="shared" si="3"/>
        <v>R</v>
      </c>
      <c r="J248" s="23" t="s">
        <v>78</v>
      </c>
      <c r="K248" s="25" t="s">
        <v>78</v>
      </c>
      <c r="L248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48" s="24">
        <f>IF(DataTable[[#This Row],[3x head (H)/tail (T)?]]=DataTable[[#This Row],[then 4th: H/T/B/0]],1,0)</f>
        <v>1</v>
      </c>
      <c r="N248" s="24">
        <f>IF(DataTable[[#This Row],[then 4th: H/T/B/0]]="B",1,0)</f>
        <v>0</v>
      </c>
      <c r="O248" s="23" t="s">
        <v>315</v>
      </c>
      <c r="P248" s="24">
        <v>21</v>
      </c>
      <c r="Q248" s="26" t="s">
        <v>411</v>
      </c>
      <c r="R248" s="25" t="s">
        <v>53</v>
      </c>
      <c r="S248" s="37" t="s">
        <v>103</v>
      </c>
      <c r="T248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5</v>
      </c>
      <c r="U248" s="28" t="s">
        <v>318</v>
      </c>
      <c r="V248" s="29" t="s">
        <v>6</v>
      </c>
      <c r="W248" s="29"/>
      <c r="X248" s="27"/>
      <c r="Y248" s="27">
        <f>IF(DataTable[[#This Row],[explanation1]]="BL",1,IF(DataTable[[#This Row],[explanation2]]="BL",1,IF(DataTable[[#This Row],[explanation1]]="BR",1,IF(DataTable[[#This Row],[explanation2]]="BR",1,0))))</f>
        <v>1</v>
      </c>
      <c r="Z248" s="18">
        <f>IF(DataTable[[#This Row],[explanation1]]="BL",1,IF(DataTable[[#This Row],[explanation2]]="BL",1,0))</f>
        <v>1</v>
      </c>
      <c r="AA248" s="18">
        <f>IF(DataTable[[#This Row],[explanation1]]="WJ",1,IF(DataTable[[#This Row],[explanation2]]="WJ",1,0))</f>
        <v>0</v>
      </c>
      <c r="AB248" s="18">
        <f>IF(DataTable[[#This Row],[explanation1]]="U",1,IF(DataTable[[#This Row],[explanation2]]="U",1,0))</f>
        <v>0</v>
      </c>
      <c r="AC248" s="18">
        <f>IF(DataTable[[#This Row],[explanation1]]="O",1,IF(DataTable[[#This Row],[explanation2]]="O",1,0))</f>
        <v>0</v>
      </c>
      <c r="AD248" s="18">
        <f>IF(DataTable[[#This Row],[explanation1]]="TP",1,IF(DataTable[[#This Row],[explanation2]]="TP",1,0))</f>
        <v>0</v>
      </c>
      <c r="AE248" s="18">
        <f>IF(DataTable[[#This Row],[explanation1]]="WP",1,IF(DataTable[[#This Row],[explanation2]]="WP",1,0))</f>
        <v>0</v>
      </c>
      <c r="AF248" s="18">
        <f>IF(DataTable[[#This Row],[explanation1]]="BR",1,IF(DataTable[[#This Row],[explanation2]]="BR",1,0))</f>
        <v>0</v>
      </c>
      <c r="AG248" s="18">
        <f>IF(DataTable[[#This Row],[explanation1]]="LS",1,IF(DataTable[[#This Row],[explanation2]]="LS",1,0))</f>
        <v>0</v>
      </c>
      <c r="AH248" s="37" t="s">
        <v>6</v>
      </c>
    </row>
    <row r="249" spans="1:34" x14ac:dyDescent="0.2">
      <c r="A249" s="13">
        <v>247</v>
      </c>
      <c r="B249" s="14" t="s">
        <v>68</v>
      </c>
      <c r="C249" s="15" t="s">
        <v>74</v>
      </c>
      <c r="D249" s="16">
        <v>50</v>
      </c>
      <c r="E249" s="14" t="s">
        <v>58</v>
      </c>
      <c r="F249" s="16">
        <v>36</v>
      </c>
      <c r="G249" s="14" t="s">
        <v>68</v>
      </c>
      <c r="H249" s="15" t="s">
        <v>48</v>
      </c>
      <c r="I249" s="16" t="str">
        <f t="shared" si="3"/>
        <v>H5</v>
      </c>
      <c r="J249" s="14" t="s">
        <v>78</v>
      </c>
      <c r="K249" s="16" t="s">
        <v>49</v>
      </c>
      <c r="L249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249" s="15">
        <f>IF(DataTable[[#This Row],[3x head (H)/tail (T)?]]=DataTable[[#This Row],[then 4th: H/T/B/0]],1,0)</f>
        <v>0</v>
      </c>
      <c r="N249" s="15">
        <f>IF(DataTable[[#This Row],[then 4th: H/T/B/0]]="B",1,0)</f>
        <v>0</v>
      </c>
      <c r="O249" s="14" t="s">
        <v>315</v>
      </c>
      <c r="P249" s="15">
        <v>21</v>
      </c>
      <c r="Q249" s="17" t="s">
        <v>411</v>
      </c>
      <c r="R249" s="16" t="s">
        <v>53</v>
      </c>
      <c r="S249" s="30" t="s">
        <v>65</v>
      </c>
      <c r="T249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249" s="19" t="s">
        <v>95</v>
      </c>
      <c r="V249" s="20" t="s">
        <v>13</v>
      </c>
      <c r="W249" s="20"/>
      <c r="X249" s="18"/>
      <c r="Y249" s="18">
        <f>IF(DataTable[[#This Row],[explanation1]]="BL",1,IF(DataTable[[#This Row],[explanation2]]="BL",1,IF(DataTable[[#This Row],[explanation1]]="BR",1,IF(DataTable[[#This Row],[explanation2]]="BR",1,0))))</f>
        <v>0</v>
      </c>
      <c r="Z249" s="18">
        <f>IF(DataTable[[#This Row],[explanation1]]="BL",1,IF(DataTable[[#This Row],[explanation2]]="BL",1,0))</f>
        <v>0</v>
      </c>
      <c r="AA249" s="18">
        <f>IF(DataTable[[#This Row],[explanation1]]="WJ",1,IF(DataTable[[#This Row],[explanation2]]="WJ",1,0))</f>
        <v>0</v>
      </c>
      <c r="AB249" s="18">
        <f>IF(DataTable[[#This Row],[explanation1]]="U",1,IF(DataTable[[#This Row],[explanation2]]="U",1,0))</f>
        <v>0</v>
      </c>
      <c r="AC249" s="18">
        <f>IF(DataTable[[#This Row],[explanation1]]="O",1,IF(DataTable[[#This Row],[explanation2]]="O",1,0))</f>
        <v>0</v>
      </c>
      <c r="AD249" s="18">
        <f>IF(DataTable[[#This Row],[explanation1]]="TP",1,IF(DataTable[[#This Row],[explanation2]]="TP",1,0))</f>
        <v>0</v>
      </c>
      <c r="AE249" s="18">
        <f>IF(DataTable[[#This Row],[explanation1]]="WP",1,IF(DataTable[[#This Row],[explanation2]]="WP",1,0))</f>
        <v>0</v>
      </c>
      <c r="AF249" s="18">
        <f>IF(DataTable[[#This Row],[explanation1]]="BR",1,IF(DataTable[[#This Row],[explanation2]]="BR",1,0))</f>
        <v>0</v>
      </c>
      <c r="AG249" s="18">
        <f>IF(DataTable[[#This Row],[explanation1]]="LS",1,IF(DataTable[[#This Row],[explanation2]]="LS",1,0))</f>
        <v>1</v>
      </c>
      <c r="AH249" s="30" t="s">
        <v>319</v>
      </c>
    </row>
    <row r="250" spans="1:34" x14ac:dyDescent="0.2">
      <c r="A250" s="22">
        <v>248</v>
      </c>
      <c r="B250" s="23" t="s">
        <v>68</v>
      </c>
      <c r="C250" s="24" t="s">
        <v>74</v>
      </c>
      <c r="D250" s="25">
        <v>50</v>
      </c>
      <c r="E250" s="23" t="s">
        <v>58</v>
      </c>
      <c r="F250" s="25">
        <v>43</v>
      </c>
      <c r="G250" s="23" t="s">
        <v>68</v>
      </c>
      <c r="H250" s="24" t="s">
        <v>81</v>
      </c>
      <c r="I250" s="25" t="str">
        <f t="shared" si="3"/>
        <v>R</v>
      </c>
      <c r="J250" s="23" t="s">
        <v>78</v>
      </c>
      <c r="K250" s="25" t="s">
        <v>50</v>
      </c>
      <c r="L250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50" s="24">
        <f>IF(DataTable[[#This Row],[3x head (H)/tail (T)?]]=DataTable[[#This Row],[then 4th: H/T/B/0]],1,0)</f>
        <v>0</v>
      </c>
      <c r="N250" s="24">
        <f>IF(DataTable[[#This Row],[then 4th: H/T/B/0]]="B",1,0)</f>
        <v>1</v>
      </c>
      <c r="O250" s="23" t="s">
        <v>315</v>
      </c>
      <c r="P250" s="24">
        <v>21</v>
      </c>
      <c r="Q250" s="26" t="s">
        <v>408</v>
      </c>
      <c r="R250" s="25" t="s">
        <v>53</v>
      </c>
      <c r="S250" s="37" t="s">
        <v>103</v>
      </c>
      <c r="T250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5</v>
      </c>
      <c r="U250" s="28" t="s">
        <v>248</v>
      </c>
      <c r="V250" s="29" t="s">
        <v>8</v>
      </c>
      <c r="W250" s="29"/>
      <c r="X250" s="27"/>
      <c r="Y250" s="27">
        <f>IF(DataTable[[#This Row],[explanation1]]="BL",1,IF(DataTable[[#This Row],[explanation2]]="BL",1,IF(DataTable[[#This Row],[explanation1]]="BR",1,IF(DataTable[[#This Row],[explanation2]]="BR",1,0))))</f>
        <v>0</v>
      </c>
      <c r="Z250" s="18">
        <f>IF(DataTable[[#This Row],[explanation1]]="BL",1,IF(DataTable[[#This Row],[explanation2]]="BL",1,0))</f>
        <v>0</v>
      </c>
      <c r="AA250" s="18">
        <f>IF(DataTable[[#This Row],[explanation1]]="WJ",1,IF(DataTable[[#This Row],[explanation2]]="WJ",1,0))</f>
        <v>0</v>
      </c>
      <c r="AB250" s="18">
        <f>IF(DataTable[[#This Row],[explanation1]]="U",1,IF(DataTable[[#This Row],[explanation2]]="U",1,0))</f>
        <v>1</v>
      </c>
      <c r="AC250" s="18">
        <f>IF(DataTable[[#This Row],[explanation1]]="O",1,IF(DataTable[[#This Row],[explanation2]]="O",1,0))</f>
        <v>0</v>
      </c>
      <c r="AD250" s="18">
        <f>IF(DataTable[[#This Row],[explanation1]]="TP",1,IF(DataTable[[#This Row],[explanation2]]="TP",1,0))</f>
        <v>0</v>
      </c>
      <c r="AE250" s="18">
        <f>IF(DataTable[[#This Row],[explanation1]]="WP",1,IF(DataTable[[#This Row],[explanation2]]="WP",1,0))</f>
        <v>0</v>
      </c>
      <c r="AF250" s="18">
        <f>IF(DataTable[[#This Row],[explanation1]]="BR",1,IF(DataTable[[#This Row],[explanation2]]="BR",1,0))</f>
        <v>0</v>
      </c>
      <c r="AG250" s="18">
        <f>IF(DataTable[[#This Row],[explanation1]]="LS",1,IF(DataTable[[#This Row],[explanation2]]="LS",1,0))</f>
        <v>0</v>
      </c>
      <c r="AH250" s="37" t="s">
        <v>320</v>
      </c>
    </row>
    <row r="251" spans="1:34" x14ac:dyDescent="0.2">
      <c r="A251" s="13">
        <v>249</v>
      </c>
      <c r="B251" s="14" t="s">
        <v>68</v>
      </c>
      <c r="C251" s="15" t="s">
        <v>74</v>
      </c>
      <c r="D251" s="16">
        <v>50</v>
      </c>
      <c r="E251" s="14" t="s">
        <v>46</v>
      </c>
      <c r="F251" s="16">
        <v>64</v>
      </c>
      <c r="G251" s="14" t="s">
        <v>47</v>
      </c>
      <c r="H251" s="15" t="s">
        <v>48</v>
      </c>
      <c r="I251" s="16" t="str">
        <f t="shared" si="3"/>
        <v>R</v>
      </c>
      <c r="J251" s="14" t="s">
        <v>49</v>
      </c>
      <c r="K251" s="16" t="s">
        <v>78</v>
      </c>
      <c r="L251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251" s="15">
        <f>IF(DataTable[[#This Row],[3x head (H)/tail (T)?]]=DataTable[[#This Row],[then 4th: H/T/B/0]],1,0)</f>
        <v>0</v>
      </c>
      <c r="N251" s="15">
        <f>IF(DataTable[[#This Row],[then 4th: H/T/B/0]]="B",1,0)</f>
        <v>0</v>
      </c>
      <c r="O251" s="14" t="s">
        <v>315</v>
      </c>
      <c r="P251" s="15">
        <v>21</v>
      </c>
      <c r="Q251" s="17" t="s">
        <v>408</v>
      </c>
      <c r="R251" s="16" t="s">
        <v>53</v>
      </c>
      <c r="S251" s="30" t="s">
        <v>103</v>
      </c>
      <c r="T251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5</v>
      </c>
      <c r="U251" s="19" t="s">
        <v>318</v>
      </c>
      <c r="V251" s="20" t="s">
        <v>13</v>
      </c>
      <c r="W251" s="20"/>
      <c r="X251" s="18"/>
      <c r="Y251" s="18">
        <f>IF(DataTable[[#This Row],[explanation1]]="BL",1,IF(DataTable[[#This Row],[explanation2]]="BL",1,IF(DataTable[[#This Row],[explanation1]]="BR",1,IF(DataTable[[#This Row],[explanation2]]="BR",1,0))))</f>
        <v>0</v>
      </c>
      <c r="Z251" s="18">
        <f>IF(DataTable[[#This Row],[explanation1]]="BL",1,IF(DataTable[[#This Row],[explanation2]]="BL",1,0))</f>
        <v>0</v>
      </c>
      <c r="AA251" s="18">
        <f>IF(DataTable[[#This Row],[explanation1]]="WJ",1,IF(DataTable[[#This Row],[explanation2]]="WJ",1,0))</f>
        <v>0</v>
      </c>
      <c r="AB251" s="18">
        <f>IF(DataTable[[#This Row],[explanation1]]="U",1,IF(DataTable[[#This Row],[explanation2]]="U",1,0))</f>
        <v>0</v>
      </c>
      <c r="AC251" s="18">
        <f>IF(DataTable[[#This Row],[explanation1]]="O",1,IF(DataTable[[#This Row],[explanation2]]="O",1,0))</f>
        <v>0</v>
      </c>
      <c r="AD251" s="18">
        <f>IF(DataTable[[#This Row],[explanation1]]="TP",1,IF(DataTable[[#This Row],[explanation2]]="TP",1,0))</f>
        <v>0</v>
      </c>
      <c r="AE251" s="18">
        <f>IF(DataTable[[#This Row],[explanation1]]="WP",1,IF(DataTable[[#This Row],[explanation2]]="WP",1,0))</f>
        <v>0</v>
      </c>
      <c r="AF251" s="18">
        <f>IF(DataTable[[#This Row],[explanation1]]="BR",1,IF(DataTable[[#This Row],[explanation2]]="BR",1,0))</f>
        <v>0</v>
      </c>
      <c r="AG251" s="18">
        <f>IF(DataTable[[#This Row],[explanation1]]="LS",1,IF(DataTable[[#This Row],[explanation2]]="LS",1,0))</f>
        <v>1</v>
      </c>
      <c r="AH251" s="30" t="s">
        <v>263</v>
      </c>
    </row>
    <row r="252" spans="1:34" x14ac:dyDescent="0.2">
      <c r="A252" s="22">
        <v>250</v>
      </c>
      <c r="B252" s="23" t="s">
        <v>60</v>
      </c>
      <c r="C252" s="24" t="s">
        <v>74</v>
      </c>
      <c r="D252" s="25">
        <v>1</v>
      </c>
      <c r="E252" s="23" t="s">
        <v>46</v>
      </c>
      <c r="F252" s="25">
        <v>58</v>
      </c>
      <c r="G252" s="23" t="s">
        <v>47</v>
      </c>
      <c r="H252" s="24" t="s">
        <v>48</v>
      </c>
      <c r="I252" s="25" t="str">
        <f t="shared" si="3"/>
        <v>R</v>
      </c>
      <c r="J252" s="23" t="s">
        <v>78</v>
      </c>
      <c r="K252" s="25" t="s">
        <v>49</v>
      </c>
      <c r="L252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252" s="24">
        <f>IF(DataTable[[#This Row],[3x head (H)/tail (T)?]]=DataTable[[#This Row],[then 4th: H/T/B/0]],1,0)</f>
        <v>0</v>
      </c>
      <c r="N252" s="24">
        <f>IF(DataTable[[#This Row],[then 4th: H/T/B/0]]="B",1,0)</f>
        <v>0</v>
      </c>
      <c r="O252" s="23" t="s">
        <v>315</v>
      </c>
      <c r="P252" s="24">
        <v>21</v>
      </c>
      <c r="Q252" s="26" t="s">
        <v>408</v>
      </c>
      <c r="R252" s="25" t="s">
        <v>53</v>
      </c>
      <c r="S252" s="37" t="s">
        <v>103</v>
      </c>
      <c r="T252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5</v>
      </c>
      <c r="U252" s="28" t="s">
        <v>296</v>
      </c>
      <c r="V252" s="29" t="s">
        <v>6</v>
      </c>
      <c r="W252" s="29" t="s">
        <v>12</v>
      </c>
      <c r="X252" s="27"/>
      <c r="Y252" s="27">
        <f>IF(DataTable[[#This Row],[explanation1]]="BL",1,IF(DataTable[[#This Row],[explanation2]]="BL",1,IF(DataTable[[#This Row],[explanation1]]="BR",1,IF(DataTable[[#This Row],[explanation2]]="BR",1,0))))</f>
        <v>1</v>
      </c>
      <c r="Z252" s="18">
        <f>IF(DataTable[[#This Row],[explanation1]]="BL",1,IF(DataTable[[#This Row],[explanation2]]="BL",1,0))</f>
        <v>1</v>
      </c>
      <c r="AA252" s="18">
        <f>IF(DataTable[[#This Row],[explanation1]]="WJ",1,IF(DataTable[[#This Row],[explanation2]]="WJ",1,0))</f>
        <v>0</v>
      </c>
      <c r="AB252" s="18">
        <f>IF(DataTable[[#This Row],[explanation1]]="U",1,IF(DataTable[[#This Row],[explanation2]]="U",1,0))</f>
        <v>0</v>
      </c>
      <c r="AC252" s="18">
        <f>IF(DataTable[[#This Row],[explanation1]]="O",1,IF(DataTable[[#This Row],[explanation2]]="O",1,0))</f>
        <v>0</v>
      </c>
      <c r="AD252" s="18">
        <f>IF(DataTable[[#This Row],[explanation1]]="TP",1,IF(DataTable[[#This Row],[explanation2]]="TP",1,0))</f>
        <v>0</v>
      </c>
      <c r="AE252" s="18">
        <f>IF(DataTable[[#This Row],[explanation1]]="WP",1,IF(DataTable[[#This Row],[explanation2]]="WP",1,0))</f>
        <v>0</v>
      </c>
      <c r="AF252" s="18">
        <f>IF(DataTable[[#This Row],[explanation1]]="BR",1,IF(DataTable[[#This Row],[explanation2]]="BR",1,0))</f>
        <v>1</v>
      </c>
      <c r="AG252" s="18">
        <f>IF(DataTable[[#This Row],[explanation1]]="LS",1,IF(DataTable[[#This Row],[explanation2]]="LS",1,0))</f>
        <v>0</v>
      </c>
      <c r="AH252" s="37" t="s">
        <v>321</v>
      </c>
    </row>
    <row r="253" spans="1:34" x14ac:dyDescent="0.2">
      <c r="A253" s="13">
        <v>251</v>
      </c>
      <c r="B253" s="14" t="s">
        <v>60</v>
      </c>
      <c r="C253" s="15" t="s">
        <v>45</v>
      </c>
      <c r="D253" s="16">
        <v>1</v>
      </c>
      <c r="E253" s="14" t="s">
        <v>58</v>
      </c>
      <c r="F253" s="16">
        <v>64</v>
      </c>
      <c r="G253" s="14" t="s">
        <v>47</v>
      </c>
      <c r="H253" s="15" t="s">
        <v>48</v>
      </c>
      <c r="I253" s="16" t="str">
        <f t="shared" si="3"/>
        <v>R</v>
      </c>
      <c r="J253" s="14" t="s">
        <v>78</v>
      </c>
      <c r="K253" s="16" t="s">
        <v>49</v>
      </c>
      <c r="L253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253" s="15">
        <f>IF(DataTable[[#This Row],[3x head (H)/tail (T)?]]=DataTable[[#This Row],[then 4th: H/T/B/0]],1,0)</f>
        <v>0</v>
      </c>
      <c r="N253" s="15">
        <f>IF(DataTable[[#This Row],[then 4th: H/T/B/0]]="B",1,0)</f>
        <v>0</v>
      </c>
      <c r="O253" s="14" t="s">
        <v>315</v>
      </c>
      <c r="P253" s="15">
        <v>21</v>
      </c>
      <c r="Q253" s="17" t="s">
        <v>408</v>
      </c>
      <c r="R253" s="16" t="s">
        <v>53</v>
      </c>
      <c r="S253" s="30" t="s">
        <v>103</v>
      </c>
      <c r="T253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5</v>
      </c>
      <c r="U253" s="19" t="s">
        <v>248</v>
      </c>
      <c r="V253" s="20" t="s">
        <v>6</v>
      </c>
      <c r="W253" s="20" t="s">
        <v>8</v>
      </c>
      <c r="X253" s="18" t="s">
        <v>322</v>
      </c>
      <c r="Y253" s="18">
        <f>IF(DataTable[[#This Row],[explanation1]]="BL",1,IF(DataTable[[#This Row],[explanation2]]="BL",1,IF(DataTable[[#This Row],[explanation1]]="BR",1,IF(DataTable[[#This Row],[explanation2]]="BR",1,0))))</f>
        <v>1</v>
      </c>
      <c r="Z253" s="18">
        <f>IF(DataTable[[#This Row],[explanation1]]="BL",1,IF(DataTable[[#This Row],[explanation2]]="BL",1,0))</f>
        <v>1</v>
      </c>
      <c r="AA253" s="18">
        <f>IF(DataTable[[#This Row],[explanation1]]="WJ",1,IF(DataTable[[#This Row],[explanation2]]="WJ",1,0))</f>
        <v>0</v>
      </c>
      <c r="AB253" s="18">
        <f>IF(DataTable[[#This Row],[explanation1]]="U",1,IF(DataTable[[#This Row],[explanation2]]="U",1,0))</f>
        <v>1</v>
      </c>
      <c r="AC253" s="18">
        <f>IF(DataTable[[#This Row],[explanation1]]="O",1,IF(DataTable[[#This Row],[explanation2]]="O",1,0))</f>
        <v>0</v>
      </c>
      <c r="AD253" s="18">
        <f>IF(DataTable[[#This Row],[explanation1]]="TP",1,IF(DataTable[[#This Row],[explanation2]]="TP",1,0))</f>
        <v>0</v>
      </c>
      <c r="AE253" s="18">
        <f>IF(DataTable[[#This Row],[explanation1]]="WP",1,IF(DataTable[[#This Row],[explanation2]]="WP",1,0))</f>
        <v>0</v>
      </c>
      <c r="AF253" s="18">
        <f>IF(DataTable[[#This Row],[explanation1]]="BR",1,IF(DataTable[[#This Row],[explanation2]]="BR",1,0))</f>
        <v>0</v>
      </c>
      <c r="AG253" s="18">
        <f>IF(DataTable[[#This Row],[explanation1]]="LS",1,IF(DataTable[[#This Row],[explanation2]]="LS",1,0))</f>
        <v>0</v>
      </c>
      <c r="AH253" s="30" t="s">
        <v>323</v>
      </c>
    </row>
    <row r="254" spans="1:34" x14ac:dyDescent="0.2">
      <c r="A254" s="22">
        <v>252</v>
      </c>
      <c r="B254" s="23" t="s">
        <v>64</v>
      </c>
      <c r="C254" s="24" t="s">
        <v>74</v>
      </c>
      <c r="D254" s="25">
        <v>50</v>
      </c>
      <c r="E254" s="23" t="s">
        <v>46</v>
      </c>
      <c r="F254" s="25">
        <v>55</v>
      </c>
      <c r="G254" s="23" t="s">
        <v>64</v>
      </c>
      <c r="H254" s="24" t="s">
        <v>81</v>
      </c>
      <c r="I254" s="25" t="str">
        <f t="shared" si="3"/>
        <v>R</v>
      </c>
      <c r="J254" s="23" t="s">
        <v>49</v>
      </c>
      <c r="K254" s="25" t="s">
        <v>50</v>
      </c>
      <c r="L254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54" s="24">
        <f>IF(DataTable[[#This Row],[3x head (H)/tail (T)?]]=DataTable[[#This Row],[then 4th: H/T/B/0]],1,0)</f>
        <v>0</v>
      </c>
      <c r="N254" s="24">
        <f>IF(DataTable[[#This Row],[then 4th: H/T/B/0]]="B",1,0)</f>
        <v>1</v>
      </c>
      <c r="O254" s="23" t="s">
        <v>315</v>
      </c>
      <c r="P254" s="24">
        <v>21</v>
      </c>
      <c r="Q254" s="26" t="s">
        <v>408</v>
      </c>
      <c r="R254" s="25" t="s">
        <v>53</v>
      </c>
      <c r="S254" s="37" t="s">
        <v>103</v>
      </c>
      <c r="T254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5</v>
      </c>
      <c r="U254" s="28" t="s">
        <v>213</v>
      </c>
      <c r="V254" s="29" t="s">
        <v>13</v>
      </c>
      <c r="W254" s="29"/>
      <c r="X254" s="27"/>
      <c r="Y254" s="27">
        <f>IF(DataTable[[#This Row],[explanation1]]="BL",1,IF(DataTable[[#This Row],[explanation2]]="BL",1,IF(DataTable[[#This Row],[explanation1]]="BR",1,IF(DataTable[[#This Row],[explanation2]]="BR",1,0))))</f>
        <v>0</v>
      </c>
      <c r="Z254" s="18">
        <f>IF(DataTable[[#This Row],[explanation1]]="BL",1,IF(DataTable[[#This Row],[explanation2]]="BL",1,0))</f>
        <v>0</v>
      </c>
      <c r="AA254" s="18">
        <f>IF(DataTable[[#This Row],[explanation1]]="WJ",1,IF(DataTable[[#This Row],[explanation2]]="WJ",1,0))</f>
        <v>0</v>
      </c>
      <c r="AB254" s="18">
        <f>IF(DataTable[[#This Row],[explanation1]]="U",1,IF(DataTable[[#This Row],[explanation2]]="U",1,0))</f>
        <v>0</v>
      </c>
      <c r="AC254" s="18">
        <f>IF(DataTable[[#This Row],[explanation1]]="O",1,IF(DataTable[[#This Row],[explanation2]]="O",1,0))</f>
        <v>0</v>
      </c>
      <c r="AD254" s="18">
        <f>IF(DataTable[[#This Row],[explanation1]]="TP",1,IF(DataTable[[#This Row],[explanation2]]="TP",1,0))</f>
        <v>0</v>
      </c>
      <c r="AE254" s="18">
        <f>IF(DataTable[[#This Row],[explanation1]]="WP",1,IF(DataTable[[#This Row],[explanation2]]="WP",1,0))</f>
        <v>0</v>
      </c>
      <c r="AF254" s="18">
        <f>IF(DataTable[[#This Row],[explanation1]]="BR",1,IF(DataTable[[#This Row],[explanation2]]="BR",1,0))</f>
        <v>0</v>
      </c>
      <c r="AG254" s="18">
        <f>IF(DataTable[[#This Row],[explanation1]]="LS",1,IF(DataTable[[#This Row],[explanation2]]="LS",1,0))</f>
        <v>1</v>
      </c>
      <c r="AH254" s="37" t="s">
        <v>324</v>
      </c>
    </row>
    <row r="255" spans="1:34" x14ac:dyDescent="0.2">
      <c r="A255" s="13">
        <v>253</v>
      </c>
      <c r="B255" s="14" t="s">
        <v>64</v>
      </c>
      <c r="C255" s="15" t="s">
        <v>45</v>
      </c>
      <c r="D255" s="16">
        <v>50</v>
      </c>
      <c r="E255" s="14" t="s">
        <v>58</v>
      </c>
      <c r="F255" s="16">
        <v>81</v>
      </c>
      <c r="G255" s="14" t="s">
        <v>47</v>
      </c>
      <c r="H255" s="15" t="s">
        <v>48</v>
      </c>
      <c r="I255" s="16" t="str">
        <f t="shared" si="3"/>
        <v>R</v>
      </c>
      <c r="J255" s="14" t="s">
        <v>49</v>
      </c>
      <c r="K255" s="16" t="s">
        <v>78</v>
      </c>
      <c r="L255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255" s="15">
        <f>IF(DataTable[[#This Row],[3x head (H)/tail (T)?]]=DataTable[[#This Row],[then 4th: H/T/B/0]],1,0)</f>
        <v>0</v>
      </c>
      <c r="N255" s="15">
        <f>IF(DataTable[[#This Row],[then 4th: H/T/B/0]]="B",1,0)</f>
        <v>0</v>
      </c>
      <c r="O255" s="14" t="s">
        <v>315</v>
      </c>
      <c r="P255" s="15">
        <v>21</v>
      </c>
      <c r="Q255" s="17" t="s">
        <v>408</v>
      </c>
      <c r="R255" s="16" t="s">
        <v>53</v>
      </c>
      <c r="S255" s="30" t="s">
        <v>54</v>
      </c>
      <c r="T255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255" s="19" t="s">
        <v>55</v>
      </c>
      <c r="V255" s="20" t="s">
        <v>8</v>
      </c>
      <c r="W255" s="20"/>
      <c r="X255" s="18" t="s">
        <v>325</v>
      </c>
      <c r="Y255" s="18">
        <f>IF(DataTable[[#This Row],[explanation1]]="BL",1,IF(DataTable[[#This Row],[explanation2]]="BL",1,IF(DataTable[[#This Row],[explanation1]]="BR",1,IF(DataTable[[#This Row],[explanation2]]="BR",1,0))))</f>
        <v>0</v>
      </c>
      <c r="Z255" s="18">
        <f>IF(DataTable[[#This Row],[explanation1]]="BL",1,IF(DataTable[[#This Row],[explanation2]]="BL",1,0))</f>
        <v>0</v>
      </c>
      <c r="AA255" s="18">
        <f>IF(DataTable[[#This Row],[explanation1]]="WJ",1,IF(DataTable[[#This Row],[explanation2]]="WJ",1,0))</f>
        <v>0</v>
      </c>
      <c r="AB255" s="18">
        <f>IF(DataTable[[#This Row],[explanation1]]="U",1,IF(DataTable[[#This Row],[explanation2]]="U",1,0))</f>
        <v>1</v>
      </c>
      <c r="AC255" s="18">
        <f>IF(DataTable[[#This Row],[explanation1]]="O",1,IF(DataTable[[#This Row],[explanation2]]="O",1,0))</f>
        <v>0</v>
      </c>
      <c r="AD255" s="18">
        <f>IF(DataTable[[#This Row],[explanation1]]="TP",1,IF(DataTable[[#This Row],[explanation2]]="TP",1,0))</f>
        <v>0</v>
      </c>
      <c r="AE255" s="18">
        <f>IF(DataTable[[#This Row],[explanation1]]="WP",1,IF(DataTable[[#This Row],[explanation2]]="WP",1,0))</f>
        <v>0</v>
      </c>
      <c r="AF255" s="18">
        <f>IF(DataTable[[#This Row],[explanation1]]="BR",1,IF(DataTable[[#This Row],[explanation2]]="BR",1,0))</f>
        <v>0</v>
      </c>
      <c r="AG255" s="18">
        <f>IF(DataTable[[#This Row],[explanation1]]="LS",1,IF(DataTable[[#This Row],[explanation2]]="LS",1,0))</f>
        <v>0</v>
      </c>
      <c r="AH255" s="30" t="s">
        <v>326</v>
      </c>
    </row>
    <row r="256" spans="1:34" x14ac:dyDescent="0.2">
      <c r="A256" s="22">
        <v>254</v>
      </c>
      <c r="B256" s="23" t="s">
        <v>57</v>
      </c>
      <c r="C256" s="24" t="s">
        <v>74</v>
      </c>
      <c r="D256" s="25">
        <v>1</v>
      </c>
      <c r="E256" s="23" t="s">
        <v>46</v>
      </c>
      <c r="F256" s="25">
        <v>65</v>
      </c>
      <c r="G256" s="23" t="s">
        <v>47</v>
      </c>
      <c r="H256" s="24" t="s">
        <v>48</v>
      </c>
      <c r="I256" s="25" t="str">
        <f t="shared" si="3"/>
        <v>R</v>
      </c>
      <c r="J256" s="23" t="s">
        <v>78</v>
      </c>
      <c r="K256" s="25" t="s">
        <v>78</v>
      </c>
      <c r="L256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56" s="24">
        <f>IF(DataTable[[#This Row],[3x head (H)/tail (T)?]]=DataTable[[#This Row],[then 4th: H/T/B/0]],1,0)</f>
        <v>1</v>
      </c>
      <c r="N256" s="24">
        <f>IF(DataTable[[#This Row],[then 4th: H/T/B/0]]="B",1,0)</f>
        <v>0</v>
      </c>
      <c r="O256" s="23" t="s">
        <v>327</v>
      </c>
      <c r="P256" s="24">
        <v>14</v>
      </c>
      <c r="Q256" s="168" t="s">
        <v>118</v>
      </c>
      <c r="R256" s="25" t="s">
        <v>58</v>
      </c>
      <c r="S256" s="27" t="s">
        <v>65</v>
      </c>
      <c r="T256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256" s="28" t="s">
        <v>210</v>
      </c>
      <c r="V256" s="29" t="s">
        <v>12</v>
      </c>
      <c r="W256" s="29"/>
      <c r="X256" s="27"/>
      <c r="Y256" s="27">
        <f>IF(DataTable[[#This Row],[explanation1]]="BL",1,IF(DataTable[[#This Row],[explanation2]]="BL",1,IF(DataTable[[#This Row],[explanation1]]="BR",1,IF(DataTable[[#This Row],[explanation2]]="BR",1,0))))</f>
        <v>1</v>
      </c>
      <c r="Z256" s="18">
        <f>IF(DataTable[[#This Row],[explanation1]]="BL",1,IF(DataTable[[#This Row],[explanation2]]="BL",1,0))</f>
        <v>0</v>
      </c>
      <c r="AA256" s="18">
        <f>IF(DataTable[[#This Row],[explanation1]]="WJ",1,IF(DataTable[[#This Row],[explanation2]]="WJ",1,0))</f>
        <v>0</v>
      </c>
      <c r="AB256" s="18">
        <f>IF(DataTable[[#This Row],[explanation1]]="U",1,IF(DataTable[[#This Row],[explanation2]]="U",1,0))</f>
        <v>0</v>
      </c>
      <c r="AC256" s="18">
        <f>IF(DataTable[[#This Row],[explanation1]]="O",1,IF(DataTable[[#This Row],[explanation2]]="O",1,0))</f>
        <v>0</v>
      </c>
      <c r="AD256" s="18">
        <f>IF(DataTable[[#This Row],[explanation1]]="TP",1,IF(DataTable[[#This Row],[explanation2]]="TP",1,0))</f>
        <v>0</v>
      </c>
      <c r="AE256" s="18">
        <f>IF(DataTable[[#This Row],[explanation1]]="WP",1,IF(DataTable[[#This Row],[explanation2]]="WP",1,0))</f>
        <v>0</v>
      </c>
      <c r="AF256" s="18">
        <f>IF(DataTable[[#This Row],[explanation1]]="BR",1,IF(DataTable[[#This Row],[explanation2]]="BR",1,0))</f>
        <v>1</v>
      </c>
      <c r="AG256" s="18">
        <f>IF(DataTable[[#This Row],[explanation1]]="LS",1,IF(DataTable[[#This Row],[explanation2]]="LS",1,0))</f>
        <v>0</v>
      </c>
      <c r="AH256" s="37" t="s">
        <v>12</v>
      </c>
    </row>
    <row r="257" spans="1:34" x14ac:dyDescent="0.2">
      <c r="A257" s="13">
        <v>255</v>
      </c>
      <c r="B257" s="14" t="s">
        <v>57</v>
      </c>
      <c r="C257" s="15" t="s">
        <v>74</v>
      </c>
      <c r="D257" s="16">
        <v>1</v>
      </c>
      <c r="E257" s="14" t="s">
        <v>58</v>
      </c>
      <c r="F257" s="16">
        <v>35</v>
      </c>
      <c r="G257" s="14" t="s">
        <v>47</v>
      </c>
      <c r="H257" s="15" t="s">
        <v>48</v>
      </c>
      <c r="I257" s="16" t="str">
        <f t="shared" si="3"/>
        <v>R</v>
      </c>
      <c r="J257" s="14" t="s">
        <v>78</v>
      </c>
      <c r="K257" s="16" t="s">
        <v>78</v>
      </c>
      <c r="L257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57" s="15">
        <f>IF(DataTable[[#This Row],[3x head (H)/tail (T)?]]=DataTable[[#This Row],[then 4th: H/T/B/0]],1,0)</f>
        <v>1</v>
      </c>
      <c r="N257" s="15">
        <f>IF(DataTable[[#This Row],[then 4th: H/T/B/0]]="B",1,0)</f>
        <v>0</v>
      </c>
      <c r="O257" s="14" t="s">
        <v>327</v>
      </c>
      <c r="P257" s="15">
        <v>14</v>
      </c>
      <c r="Q257" s="169" t="s">
        <v>118</v>
      </c>
      <c r="R257" s="16" t="s">
        <v>58</v>
      </c>
      <c r="S257" s="18" t="s">
        <v>54</v>
      </c>
      <c r="T257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257" s="19" t="s">
        <v>88</v>
      </c>
      <c r="V257" s="20" t="s">
        <v>6</v>
      </c>
      <c r="W257" s="20"/>
      <c r="X257" s="18"/>
      <c r="Y257" s="18">
        <f>IF(DataTable[[#This Row],[explanation1]]="BL",1,IF(DataTable[[#This Row],[explanation2]]="BL",1,IF(DataTable[[#This Row],[explanation1]]="BR",1,IF(DataTable[[#This Row],[explanation2]]="BR",1,0))))</f>
        <v>1</v>
      </c>
      <c r="Z257" s="18">
        <f>IF(DataTable[[#This Row],[explanation1]]="BL",1,IF(DataTable[[#This Row],[explanation2]]="BL",1,0))</f>
        <v>1</v>
      </c>
      <c r="AA257" s="18">
        <f>IF(DataTable[[#This Row],[explanation1]]="WJ",1,IF(DataTable[[#This Row],[explanation2]]="WJ",1,0))</f>
        <v>0</v>
      </c>
      <c r="AB257" s="18">
        <f>IF(DataTable[[#This Row],[explanation1]]="U",1,IF(DataTable[[#This Row],[explanation2]]="U",1,0))</f>
        <v>0</v>
      </c>
      <c r="AC257" s="18">
        <f>IF(DataTable[[#This Row],[explanation1]]="O",1,IF(DataTable[[#This Row],[explanation2]]="O",1,0))</f>
        <v>0</v>
      </c>
      <c r="AD257" s="18">
        <f>IF(DataTable[[#This Row],[explanation1]]="TP",1,IF(DataTable[[#This Row],[explanation2]]="TP",1,0))</f>
        <v>0</v>
      </c>
      <c r="AE257" s="18">
        <f>IF(DataTable[[#This Row],[explanation1]]="WP",1,IF(DataTable[[#This Row],[explanation2]]="WP",1,0))</f>
        <v>0</v>
      </c>
      <c r="AF257" s="18">
        <f>IF(DataTable[[#This Row],[explanation1]]="BR",1,IF(DataTable[[#This Row],[explanation2]]="BR",1,0))</f>
        <v>0</v>
      </c>
      <c r="AG257" s="18">
        <f>IF(DataTable[[#This Row],[explanation1]]="LS",1,IF(DataTable[[#This Row],[explanation2]]="LS",1,0))</f>
        <v>0</v>
      </c>
      <c r="AH257" s="30" t="s">
        <v>6</v>
      </c>
    </row>
    <row r="258" spans="1:34" x14ac:dyDescent="0.2">
      <c r="A258" s="22">
        <v>256</v>
      </c>
      <c r="B258" s="23" t="s">
        <v>57</v>
      </c>
      <c r="C258" s="24" t="s">
        <v>74</v>
      </c>
      <c r="D258" s="25">
        <v>1</v>
      </c>
      <c r="E258" s="23" t="s">
        <v>46</v>
      </c>
      <c r="F258" s="25">
        <v>23</v>
      </c>
      <c r="G258" s="23" t="s">
        <v>47</v>
      </c>
      <c r="H258" s="24" t="s">
        <v>81</v>
      </c>
      <c r="I258" s="25" t="str">
        <f t="shared" si="3"/>
        <v>H1</v>
      </c>
      <c r="J258" s="23" t="s">
        <v>49</v>
      </c>
      <c r="K258" s="25" t="s">
        <v>50</v>
      </c>
      <c r="L258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58" s="24">
        <f>IF(DataTable[[#This Row],[3x head (H)/tail (T)?]]=DataTable[[#This Row],[then 4th: H/T/B/0]],1,0)</f>
        <v>0</v>
      </c>
      <c r="N258" s="24">
        <f>IF(DataTable[[#This Row],[then 4th: H/T/B/0]]="B",1,0)</f>
        <v>1</v>
      </c>
      <c r="O258" s="23" t="s">
        <v>327</v>
      </c>
      <c r="P258" s="24">
        <v>14</v>
      </c>
      <c r="Q258" s="168" t="s">
        <v>411</v>
      </c>
      <c r="R258" s="25" t="s">
        <v>58</v>
      </c>
      <c r="S258" s="27" t="s">
        <v>54</v>
      </c>
      <c r="T258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258" s="28" t="s">
        <v>116</v>
      </c>
      <c r="V258" s="29" t="s">
        <v>12</v>
      </c>
      <c r="W258" s="29"/>
      <c r="X258" s="27"/>
      <c r="Y258" s="27">
        <f>IF(DataTable[[#This Row],[explanation1]]="BL",1,IF(DataTable[[#This Row],[explanation2]]="BL",1,IF(DataTable[[#This Row],[explanation1]]="BR",1,IF(DataTable[[#This Row],[explanation2]]="BR",1,0))))</f>
        <v>1</v>
      </c>
      <c r="Z258" s="18">
        <f>IF(DataTable[[#This Row],[explanation1]]="BL",1,IF(DataTable[[#This Row],[explanation2]]="BL",1,0))</f>
        <v>0</v>
      </c>
      <c r="AA258" s="18">
        <f>IF(DataTable[[#This Row],[explanation1]]="WJ",1,IF(DataTable[[#This Row],[explanation2]]="WJ",1,0))</f>
        <v>0</v>
      </c>
      <c r="AB258" s="18">
        <f>IF(DataTable[[#This Row],[explanation1]]="U",1,IF(DataTable[[#This Row],[explanation2]]="U",1,0))</f>
        <v>0</v>
      </c>
      <c r="AC258" s="18">
        <f>IF(DataTable[[#This Row],[explanation1]]="O",1,IF(DataTable[[#This Row],[explanation2]]="O",1,0))</f>
        <v>0</v>
      </c>
      <c r="AD258" s="18">
        <f>IF(DataTable[[#This Row],[explanation1]]="TP",1,IF(DataTable[[#This Row],[explanation2]]="TP",1,0))</f>
        <v>0</v>
      </c>
      <c r="AE258" s="18">
        <f>IF(DataTable[[#This Row],[explanation1]]="WP",1,IF(DataTable[[#This Row],[explanation2]]="WP",1,0))</f>
        <v>0</v>
      </c>
      <c r="AF258" s="18">
        <f>IF(DataTable[[#This Row],[explanation1]]="BR",1,IF(DataTable[[#This Row],[explanation2]]="BR",1,0))</f>
        <v>1</v>
      </c>
      <c r="AG258" s="18">
        <f>IF(DataTable[[#This Row],[explanation1]]="LS",1,IF(DataTable[[#This Row],[explanation2]]="LS",1,0))</f>
        <v>0</v>
      </c>
      <c r="AH258" s="37" t="s">
        <v>12</v>
      </c>
    </row>
    <row r="259" spans="1:34" x14ac:dyDescent="0.2">
      <c r="A259" s="13">
        <v>257</v>
      </c>
      <c r="B259" s="14" t="s">
        <v>57</v>
      </c>
      <c r="C259" s="15" t="s">
        <v>74</v>
      </c>
      <c r="D259" s="16">
        <v>1</v>
      </c>
      <c r="E259" s="14" t="s">
        <v>58</v>
      </c>
      <c r="F259" s="16">
        <v>62</v>
      </c>
      <c r="G259" s="14" t="s">
        <v>47</v>
      </c>
      <c r="H259" s="15" t="s">
        <v>48</v>
      </c>
      <c r="I259" s="16" t="str">
        <f t="shared" ref="I259:I322" si="4">IF(H259="NIE",G259,IF(G259="R",B259,"R"))</f>
        <v>R</v>
      </c>
      <c r="J259" s="14" t="s">
        <v>49</v>
      </c>
      <c r="K259" s="16" t="s">
        <v>50</v>
      </c>
      <c r="L259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59" s="15">
        <f>IF(DataTable[[#This Row],[3x head (H)/tail (T)?]]=DataTable[[#This Row],[then 4th: H/T/B/0]],1,0)</f>
        <v>0</v>
      </c>
      <c r="N259" s="15">
        <f>IF(DataTable[[#This Row],[then 4th: H/T/B/0]]="B",1,0)</f>
        <v>1</v>
      </c>
      <c r="O259" s="14" t="s">
        <v>327</v>
      </c>
      <c r="P259" s="15">
        <v>21</v>
      </c>
      <c r="Q259" s="169" t="s">
        <v>118</v>
      </c>
      <c r="R259" s="16" t="s">
        <v>58</v>
      </c>
      <c r="S259" s="18" t="s">
        <v>75</v>
      </c>
      <c r="T259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259" s="19" t="s">
        <v>76</v>
      </c>
      <c r="V259" s="20" t="s">
        <v>9</v>
      </c>
      <c r="W259" s="20"/>
      <c r="X259" s="18"/>
      <c r="Y259" s="18">
        <f>IF(DataTable[[#This Row],[explanation1]]="BL",1,IF(DataTable[[#This Row],[explanation2]]="BL",1,IF(DataTable[[#This Row],[explanation1]]="BR",1,IF(DataTable[[#This Row],[explanation2]]="BR",1,0))))</f>
        <v>0</v>
      </c>
      <c r="Z259" s="18">
        <f>IF(DataTable[[#This Row],[explanation1]]="BL",1,IF(DataTable[[#This Row],[explanation2]]="BL",1,0))</f>
        <v>0</v>
      </c>
      <c r="AA259" s="18">
        <f>IF(DataTable[[#This Row],[explanation1]]="WJ",1,IF(DataTable[[#This Row],[explanation2]]="WJ",1,0))</f>
        <v>0</v>
      </c>
      <c r="AB259" s="18">
        <f>IF(DataTable[[#This Row],[explanation1]]="U",1,IF(DataTable[[#This Row],[explanation2]]="U",1,0))</f>
        <v>0</v>
      </c>
      <c r="AC259" s="18">
        <f>IF(DataTable[[#This Row],[explanation1]]="O",1,IF(DataTable[[#This Row],[explanation2]]="O",1,0))</f>
        <v>1</v>
      </c>
      <c r="AD259" s="18">
        <f>IF(DataTable[[#This Row],[explanation1]]="TP",1,IF(DataTable[[#This Row],[explanation2]]="TP",1,0))</f>
        <v>0</v>
      </c>
      <c r="AE259" s="18">
        <f>IF(DataTable[[#This Row],[explanation1]]="WP",1,IF(DataTable[[#This Row],[explanation2]]="WP",1,0))</f>
        <v>0</v>
      </c>
      <c r="AF259" s="18">
        <f>IF(DataTable[[#This Row],[explanation1]]="BR",1,IF(DataTable[[#This Row],[explanation2]]="BR",1,0))</f>
        <v>0</v>
      </c>
      <c r="AG259" s="18">
        <f>IF(DataTable[[#This Row],[explanation1]]="LS",1,IF(DataTable[[#This Row],[explanation2]]="LS",1,0))</f>
        <v>0</v>
      </c>
      <c r="AH259" s="30" t="s">
        <v>9</v>
      </c>
    </row>
    <row r="260" spans="1:34" x14ac:dyDescent="0.2">
      <c r="A260" s="22">
        <v>258</v>
      </c>
      <c r="B260" s="23" t="s">
        <v>57</v>
      </c>
      <c r="C260" s="24" t="s">
        <v>74</v>
      </c>
      <c r="D260" s="25">
        <v>50</v>
      </c>
      <c r="E260" s="23" t="s">
        <v>58</v>
      </c>
      <c r="F260" s="25">
        <v>22</v>
      </c>
      <c r="G260" s="23" t="s">
        <v>47</v>
      </c>
      <c r="H260" s="24" t="s">
        <v>48</v>
      </c>
      <c r="I260" s="25" t="str">
        <f t="shared" si="4"/>
        <v>R</v>
      </c>
      <c r="J260" s="23" t="s">
        <v>78</v>
      </c>
      <c r="K260" s="25" t="s">
        <v>49</v>
      </c>
      <c r="L260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260" s="24">
        <f>IF(DataTable[[#This Row],[3x head (H)/tail (T)?]]=DataTable[[#This Row],[then 4th: H/T/B/0]],1,0)</f>
        <v>0</v>
      </c>
      <c r="N260" s="24">
        <f>IF(DataTable[[#This Row],[then 4th: H/T/B/0]]="B",1,0)</f>
        <v>0</v>
      </c>
      <c r="O260" s="23" t="s">
        <v>327</v>
      </c>
      <c r="P260" s="24">
        <v>21</v>
      </c>
      <c r="Q260" s="168" t="s">
        <v>118</v>
      </c>
      <c r="R260" s="25" t="s">
        <v>58</v>
      </c>
      <c r="S260" s="27" t="s">
        <v>54</v>
      </c>
      <c r="T260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260" s="28" t="s">
        <v>116</v>
      </c>
      <c r="V260" s="29" t="s">
        <v>11</v>
      </c>
      <c r="W260" s="29"/>
      <c r="X260" s="27"/>
      <c r="Y260" s="27">
        <f>IF(DataTable[[#This Row],[explanation1]]="BL",1,IF(DataTable[[#This Row],[explanation2]]="BL",1,IF(DataTable[[#This Row],[explanation1]]="BR",1,IF(DataTable[[#This Row],[explanation2]]="BR",1,0))))</f>
        <v>0</v>
      </c>
      <c r="Z260" s="18">
        <f>IF(DataTable[[#This Row],[explanation1]]="BL",1,IF(DataTable[[#This Row],[explanation2]]="BL",1,0))</f>
        <v>0</v>
      </c>
      <c r="AA260" s="18">
        <f>IF(DataTable[[#This Row],[explanation1]]="WJ",1,IF(DataTable[[#This Row],[explanation2]]="WJ",1,0))</f>
        <v>0</v>
      </c>
      <c r="AB260" s="18">
        <f>IF(DataTable[[#This Row],[explanation1]]="U",1,IF(DataTable[[#This Row],[explanation2]]="U",1,0))</f>
        <v>0</v>
      </c>
      <c r="AC260" s="18">
        <f>IF(DataTable[[#This Row],[explanation1]]="O",1,IF(DataTable[[#This Row],[explanation2]]="O",1,0))</f>
        <v>0</v>
      </c>
      <c r="AD260" s="18">
        <f>IF(DataTable[[#This Row],[explanation1]]="TP",1,IF(DataTable[[#This Row],[explanation2]]="TP",1,0))</f>
        <v>0</v>
      </c>
      <c r="AE260" s="18">
        <f>IF(DataTable[[#This Row],[explanation1]]="WP",1,IF(DataTable[[#This Row],[explanation2]]="WP",1,0))</f>
        <v>1</v>
      </c>
      <c r="AF260" s="18">
        <f>IF(DataTable[[#This Row],[explanation1]]="BR",1,IF(DataTable[[#This Row],[explanation2]]="BR",1,0))</f>
        <v>0</v>
      </c>
      <c r="AG260" s="18">
        <f>IF(DataTable[[#This Row],[explanation1]]="LS",1,IF(DataTable[[#This Row],[explanation2]]="LS",1,0))</f>
        <v>0</v>
      </c>
      <c r="AH260" s="37" t="s">
        <v>11</v>
      </c>
    </row>
    <row r="261" spans="1:34" x14ac:dyDescent="0.2">
      <c r="A261" s="13">
        <v>259</v>
      </c>
      <c r="B261" s="14" t="s">
        <v>57</v>
      </c>
      <c r="C261" s="15" t="s">
        <v>74</v>
      </c>
      <c r="D261" s="16">
        <v>50</v>
      </c>
      <c r="E261" s="14" t="s">
        <v>58</v>
      </c>
      <c r="F261" s="16">
        <v>18</v>
      </c>
      <c r="G261" s="14" t="s">
        <v>57</v>
      </c>
      <c r="H261" s="15" t="s">
        <v>81</v>
      </c>
      <c r="I261" s="16" t="str">
        <f t="shared" si="4"/>
        <v>R</v>
      </c>
      <c r="J261" s="14" t="s">
        <v>49</v>
      </c>
      <c r="K261" s="16" t="s">
        <v>49</v>
      </c>
      <c r="L261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61" s="15">
        <f>IF(DataTable[[#This Row],[3x head (H)/tail (T)?]]=DataTable[[#This Row],[then 4th: H/T/B/0]],1,0)</f>
        <v>1</v>
      </c>
      <c r="N261" s="15">
        <f>IF(DataTable[[#This Row],[then 4th: H/T/B/0]]="B",1,0)</f>
        <v>0</v>
      </c>
      <c r="O261" s="14" t="s">
        <v>327</v>
      </c>
      <c r="P261" s="15">
        <v>14</v>
      </c>
      <c r="Q261" s="169" t="s">
        <v>118</v>
      </c>
      <c r="R261" s="16" t="s">
        <v>58</v>
      </c>
      <c r="S261" s="18" t="s">
        <v>75</v>
      </c>
      <c r="T261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261" s="19" t="s">
        <v>328</v>
      </c>
      <c r="V261" s="20" t="s">
        <v>7</v>
      </c>
      <c r="W261" s="20"/>
      <c r="X261" s="18"/>
      <c r="Y261" s="18">
        <f>IF(DataTable[[#This Row],[explanation1]]="BL",1,IF(DataTable[[#This Row],[explanation2]]="BL",1,IF(DataTable[[#This Row],[explanation1]]="BR",1,IF(DataTable[[#This Row],[explanation2]]="BR",1,0))))</f>
        <v>0</v>
      </c>
      <c r="Z261" s="18">
        <f>IF(DataTable[[#This Row],[explanation1]]="BL",1,IF(DataTable[[#This Row],[explanation2]]="BL",1,0))</f>
        <v>0</v>
      </c>
      <c r="AA261" s="18">
        <f>IF(DataTable[[#This Row],[explanation1]]="WJ",1,IF(DataTable[[#This Row],[explanation2]]="WJ",1,0))</f>
        <v>1</v>
      </c>
      <c r="AB261" s="18">
        <f>IF(DataTable[[#This Row],[explanation1]]="U",1,IF(DataTable[[#This Row],[explanation2]]="U",1,0))</f>
        <v>0</v>
      </c>
      <c r="AC261" s="18">
        <f>IF(DataTable[[#This Row],[explanation1]]="O",1,IF(DataTable[[#This Row],[explanation2]]="O",1,0))</f>
        <v>0</v>
      </c>
      <c r="AD261" s="18">
        <f>IF(DataTable[[#This Row],[explanation1]]="TP",1,IF(DataTable[[#This Row],[explanation2]]="TP",1,0))</f>
        <v>0</v>
      </c>
      <c r="AE261" s="18">
        <f>IF(DataTable[[#This Row],[explanation1]]="WP",1,IF(DataTable[[#This Row],[explanation2]]="WP",1,0))</f>
        <v>0</v>
      </c>
      <c r="AF261" s="18">
        <f>IF(DataTable[[#This Row],[explanation1]]="BR",1,IF(DataTable[[#This Row],[explanation2]]="BR",1,0))</f>
        <v>0</v>
      </c>
      <c r="AG261" s="18">
        <f>IF(DataTable[[#This Row],[explanation1]]="LS",1,IF(DataTable[[#This Row],[explanation2]]="LS",1,0))</f>
        <v>0</v>
      </c>
      <c r="AH261" s="30" t="s">
        <v>7</v>
      </c>
    </row>
    <row r="262" spans="1:34" x14ac:dyDescent="0.2">
      <c r="A262" s="22">
        <v>260</v>
      </c>
      <c r="B262" s="23" t="s">
        <v>57</v>
      </c>
      <c r="C262" s="24" t="s">
        <v>45</v>
      </c>
      <c r="D262" s="25">
        <v>1</v>
      </c>
      <c r="E262" s="23" t="s">
        <v>46</v>
      </c>
      <c r="F262" s="25">
        <v>56</v>
      </c>
      <c r="G262" s="23" t="s">
        <v>57</v>
      </c>
      <c r="H262" s="24" t="s">
        <v>48</v>
      </c>
      <c r="I262" s="25" t="str">
        <f t="shared" si="4"/>
        <v>H1</v>
      </c>
      <c r="J262" s="23" t="s">
        <v>78</v>
      </c>
      <c r="K262" s="25" t="s">
        <v>49</v>
      </c>
      <c r="L262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262" s="24">
        <f>IF(DataTable[[#This Row],[3x head (H)/tail (T)?]]=DataTable[[#This Row],[then 4th: H/T/B/0]],1,0)</f>
        <v>0</v>
      </c>
      <c r="N262" s="24">
        <f>IF(DataTable[[#This Row],[then 4th: H/T/B/0]]="B",1,0)</f>
        <v>0</v>
      </c>
      <c r="O262" s="23" t="s">
        <v>327</v>
      </c>
      <c r="P262" s="24">
        <v>21</v>
      </c>
      <c r="Q262" s="168" t="s">
        <v>118</v>
      </c>
      <c r="R262" s="25" t="s">
        <v>58</v>
      </c>
      <c r="S262" s="27" t="s">
        <v>61</v>
      </c>
      <c r="T262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4</v>
      </c>
      <c r="U262" s="28" t="s">
        <v>173</v>
      </c>
      <c r="V262" s="29" t="s">
        <v>13</v>
      </c>
      <c r="W262" s="29"/>
      <c r="X262" s="27"/>
      <c r="Y262" s="27">
        <f>IF(DataTable[[#This Row],[explanation1]]="BL",1,IF(DataTable[[#This Row],[explanation2]]="BL",1,IF(DataTable[[#This Row],[explanation1]]="BR",1,IF(DataTable[[#This Row],[explanation2]]="BR",1,0))))</f>
        <v>0</v>
      </c>
      <c r="Z262" s="18">
        <f>IF(DataTable[[#This Row],[explanation1]]="BL",1,IF(DataTable[[#This Row],[explanation2]]="BL",1,0))</f>
        <v>0</v>
      </c>
      <c r="AA262" s="18">
        <f>IF(DataTable[[#This Row],[explanation1]]="WJ",1,IF(DataTable[[#This Row],[explanation2]]="WJ",1,0))</f>
        <v>0</v>
      </c>
      <c r="AB262" s="18">
        <f>IF(DataTable[[#This Row],[explanation1]]="U",1,IF(DataTable[[#This Row],[explanation2]]="U",1,0))</f>
        <v>0</v>
      </c>
      <c r="AC262" s="18">
        <f>IF(DataTable[[#This Row],[explanation1]]="O",1,IF(DataTable[[#This Row],[explanation2]]="O",1,0))</f>
        <v>0</v>
      </c>
      <c r="AD262" s="18">
        <f>IF(DataTable[[#This Row],[explanation1]]="TP",1,IF(DataTable[[#This Row],[explanation2]]="TP",1,0))</f>
        <v>0</v>
      </c>
      <c r="AE262" s="18">
        <f>IF(DataTable[[#This Row],[explanation1]]="WP",1,IF(DataTable[[#This Row],[explanation2]]="WP",1,0))</f>
        <v>0</v>
      </c>
      <c r="AF262" s="18">
        <f>IF(DataTable[[#This Row],[explanation1]]="BR",1,IF(DataTable[[#This Row],[explanation2]]="BR",1,0))</f>
        <v>0</v>
      </c>
      <c r="AG262" s="18">
        <f>IF(DataTable[[#This Row],[explanation1]]="LS",1,IF(DataTable[[#This Row],[explanation2]]="LS",1,0))</f>
        <v>1</v>
      </c>
      <c r="AH262" s="37" t="s">
        <v>13</v>
      </c>
    </row>
    <row r="263" spans="1:34" x14ac:dyDescent="0.2">
      <c r="A263" s="13">
        <v>261</v>
      </c>
      <c r="B263" s="14" t="s">
        <v>57</v>
      </c>
      <c r="C263" s="15" t="s">
        <v>45</v>
      </c>
      <c r="D263" s="16">
        <v>1</v>
      </c>
      <c r="E263" s="14" t="s">
        <v>46</v>
      </c>
      <c r="F263" s="16">
        <v>33</v>
      </c>
      <c r="G263" s="14" t="s">
        <v>47</v>
      </c>
      <c r="H263" s="15" t="s">
        <v>81</v>
      </c>
      <c r="I263" s="16" t="str">
        <f t="shared" si="4"/>
        <v>H1</v>
      </c>
      <c r="J263" s="14" t="s">
        <v>78</v>
      </c>
      <c r="K263" s="16" t="s">
        <v>50</v>
      </c>
      <c r="L263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63" s="15">
        <f>IF(DataTable[[#This Row],[3x head (H)/tail (T)?]]=DataTable[[#This Row],[then 4th: H/T/B/0]],1,0)</f>
        <v>0</v>
      </c>
      <c r="N263" s="15">
        <f>IF(DataTable[[#This Row],[then 4th: H/T/B/0]]="B",1,0)</f>
        <v>1</v>
      </c>
      <c r="O263" s="14" t="s">
        <v>327</v>
      </c>
      <c r="P263" s="15">
        <v>21</v>
      </c>
      <c r="Q263" s="169" t="s">
        <v>118</v>
      </c>
      <c r="R263" s="16" t="s">
        <v>58</v>
      </c>
      <c r="S263" s="18" t="s">
        <v>65</v>
      </c>
      <c r="T263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263" s="19" t="s">
        <v>329</v>
      </c>
      <c r="V263" s="20" t="s">
        <v>12</v>
      </c>
      <c r="W263" s="20"/>
      <c r="X263" s="18"/>
      <c r="Y263" s="18">
        <f>IF(DataTable[[#This Row],[explanation1]]="BL",1,IF(DataTable[[#This Row],[explanation2]]="BL",1,IF(DataTable[[#This Row],[explanation1]]="BR",1,IF(DataTable[[#This Row],[explanation2]]="BR",1,0))))</f>
        <v>1</v>
      </c>
      <c r="Z263" s="18">
        <f>IF(DataTable[[#This Row],[explanation1]]="BL",1,IF(DataTable[[#This Row],[explanation2]]="BL",1,0))</f>
        <v>0</v>
      </c>
      <c r="AA263" s="18">
        <f>IF(DataTable[[#This Row],[explanation1]]="WJ",1,IF(DataTable[[#This Row],[explanation2]]="WJ",1,0))</f>
        <v>0</v>
      </c>
      <c r="AB263" s="18">
        <f>IF(DataTable[[#This Row],[explanation1]]="U",1,IF(DataTable[[#This Row],[explanation2]]="U",1,0))</f>
        <v>0</v>
      </c>
      <c r="AC263" s="18">
        <f>IF(DataTable[[#This Row],[explanation1]]="O",1,IF(DataTable[[#This Row],[explanation2]]="O",1,0))</f>
        <v>0</v>
      </c>
      <c r="AD263" s="18">
        <f>IF(DataTable[[#This Row],[explanation1]]="TP",1,IF(DataTable[[#This Row],[explanation2]]="TP",1,0))</f>
        <v>0</v>
      </c>
      <c r="AE263" s="18">
        <f>IF(DataTable[[#This Row],[explanation1]]="WP",1,IF(DataTable[[#This Row],[explanation2]]="WP",1,0))</f>
        <v>0</v>
      </c>
      <c r="AF263" s="18">
        <f>IF(DataTable[[#This Row],[explanation1]]="BR",1,IF(DataTable[[#This Row],[explanation2]]="BR",1,0))</f>
        <v>1</v>
      </c>
      <c r="AG263" s="18">
        <f>IF(DataTable[[#This Row],[explanation1]]="LS",1,IF(DataTable[[#This Row],[explanation2]]="LS",1,0))</f>
        <v>0</v>
      </c>
      <c r="AH263" s="30" t="s">
        <v>12</v>
      </c>
    </row>
    <row r="264" spans="1:34" x14ac:dyDescent="0.2">
      <c r="A264" s="22">
        <v>262</v>
      </c>
      <c r="B264" s="23" t="s">
        <v>57</v>
      </c>
      <c r="C264" s="24" t="s">
        <v>45</v>
      </c>
      <c r="D264" s="25">
        <v>1</v>
      </c>
      <c r="E264" s="23" t="s">
        <v>58</v>
      </c>
      <c r="F264" s="25">
        <v>25</v>
      </c>
      <c r="G264" s="23" t="s">
        <v>47</v>
      </c>
      <c r="H264" s="24" t="s">
        <v>48</v>
      </c>
      <c r="I264" s="25" t="str">
        <f t="shared" si="4"/>
        <v>R</v>
      </c>
      <c r="J264" s="23" t="s">
        <v>78</v>
      </c>
      <c r="K264" s="25" t="s">
        <v>78</v>
      </c>
      <c r="L264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64" s="24">
        <f>IF(DataTable[[#This Row],[3x head (H)/tail (T)?]]=DataTable[[#This Row],[then 4th: H/T/B/0]],1,0)</f>
        <v>1</v>
      </c>
      <c r="N264" s="24">
        <f>IF(DataTable[[#This Row],[then 4th: H/T/B/0]]="B",1,0)</f>
        <v>0</v>
      </c>
      <c r="O264" s="23" t="s">
        <v>327</v>
      </c>
      <c r="P264" s="24">
        <v>21</v>
      </c>
      <c r="Q264" s="168" t="s">
        <v>411</v>
      </c>
      <c r="R264" s="25" t="s">
        <v>58</v>
      </c>
      <c r="S264" s="27" t="s">
        <v>61</v>
      </c>
      <c r="T264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4</v>
      </c>
      <c r="U264" s="28" t="s">
        <v>330</v>
      </c>
      <c r="V264" s="29" t="s">
        <v>9</v>
      </c>
      <c r="W264" s="29"/>
      <c r="X264" s="27"/>
      <c r="Y264" s="27">
        <f>IF(DataTable[[#This Row],[explanation1]]="BL",1,IF(DataTable[[#This Row],[explanation2]]="BL",1,IF(DataTable[[#This Row],[explanation1]]="BR",1,IF(DataTable[[#This Row],[explanation2]]="BR",1,0))))</f>
        <v>0</v>
      </c>
      <c r="Z264" s="18">
        <f>IF(DataTable[[#This Row],[explanation1]]="BL",1,IF(DataTable[[#This Row],[explanation2]]="BL",1,0))</f>
        <v>0</v>
      </c>
      <c r="AA264" s="18">
        <f>IF(DataTable[[#This Row],[explanation1]]="WJ",1,IF(DataTable[[#This Row],[explanation2]]="WJ",1,0))</f>
        <v>0</v>
      </c>
      <c r="AB264" s="18">
        <f>IF(DataTable[[#This Row],[explanation1]]="U",1,IF(DataTable[[#This Row],[explanation2]]="U",1,0))</f>
        <v>0</v>
      </c>
      <c r="AC264" s="18">
        <f>IF(DataTable[[#This Row],[explanation1]]="O",1,IF(DataTable[[#This Row],[explanation2]]="O",1,0))</f>
        <v>1</v>
      </c>
      <c r="AD264" s="18">
        <f>IF(DataTable[[#This Row],[explanation1]]="TP",1,IF(DataTable[[#This Row],[explanation2]]="TP",1,0))</f>
        <v>0</v>
      </c>
      <c r="AE264" s="18">
        <f>IF(DataTable[[#This Row],[explanation1]]="WP",1,IF(DataTable[[#This Row],[explanation2]]="WP",1,0))</f>
        <v>0</v>
      </c>
      <c r="AF264" s="18">
        <f>IF(DataTable[[#This Row],[explanation1]]="BR",1,IF(DataTable[[#This Row],[explanation2]]="BR",1,0))</f>
        <v>0</v>
      </c>
      <c r="AG264" s="18">
        <f>IF(DataTable[[#This Row],[explanation1]]="LS",1,IF(DataTable[[#This Row],[explanation2]]="LS",1,0))</f>
        <v>0</v>
      </c>
      <c r="AH264" s="37" t="s">
        <v>9</v>
      </c>
    </row>
    <row r="265" spans="1:34" x14ac:dyDescent="0.2">
      <c r="A265" s="13">
        <v>263</v>
      </c>
      <c r="B265" s="14" t="s">
        <v>57</v>
      </c>
      <c r="C265" s="15" t="s">
        <v>45</v>
      </c>
      <c r="D265" s="16">
        <v>1</v>
      </c>
      <c r="E265" s="14" t="s">
        <v>58</v>
      </c>
      <c r="F265" s="16">
        <v>29</v>
      </c>
      <c r="G265" s="14" t="s">
        <v>57</v>
      </c>
      <c r="H265" s="15" t="s">
        <v>48</v>
      </c>
      <c r="I265" s="16" t="str">
        <f t="shared" si="4"/>
        <v>H1</v>
      </c>
      <c r="J265" s="14" t="s">
        <v>49</v>
      </c>
      <c r="K265" s="16" t="s">
        <v>78</v>
      </c>
      <c r="L265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265" s="15">
        <f>IF(DataTable[[#This Row],[3x head (H)/tail (T)?]]=DataTable[[#This Row],[then 4th: H/T/B/0]],1,0)</f>
        <v>0</v>
      </c>
      <c r="N265" s="15">
        <f>IF(DataTable[[#This Row],[then 4th: H/T/B/0]]="B",1,0)</f>
        <v>0</v>
      </c>
      <c r="O265" s="14" t="s">
        <v>331</v>
      </c>
      <c r="P265" s="15">
        <v>21</v>
      </c>
      <c r="Q265" s="169" t="s">
        <v>71</v>
      </c>
      <c r="R265" s="16" t="s">
        <v>58</v>
      </c>
      <c r="S265" s="18" t="s">
        <v>54</v>
      </c>
      <c r="T265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265" s="19" t="s">
        <v>116</v>
      </c>
      <c r="V265" s="20" t="s">
        <v>8</v>
      </c>
      <c r="W265" s="20"/>
      <c r="X265" s="18" t="s">
        <v>204</v>
      </c>
      <c r="Y265" s="18">
        <f>IF(DataTable[[#This Row],[explanation1]]="BL",1,IF(DataTable[[#This Row],[explanation2]]="BL",1,IF(DataTable[[#This Row],[explanation1]]="BR",1,IF(DataTable[[#This Row],[explanation2]]="BR",1,0))))</f>
        <v>0</v>
      </c>
      <c r="Z265" s="18">
        <f>IF(DataTable[[#This Row],[explanation1]]="BL",1,IF(DataTable[[#This Row],[explanation2]]="BL",1,0))</f>
        <v>0</v>
      </c>
      <c r="AA265" s="18">
        <f>IF(DataTable[[#This Row],[explanation1]]="WJ",1,IF(DataTable[[#This Row],[explanation2]]="WJ",1,0))</f>
        <v>0</v>
      </c>
      <c r="AB265" s="18">
        <f>IF(DataTable[[#This Row],[explanation1]]="U",1,IF(DataTable[[#This Row],[explanation2]]="U",1,0))</f>
        <v>1</v>
      </c>
      <c r="AC265" s="18">
        <f>IF(DataTable[[#This Row],[explanation1]]="O",1,IF(DataTable[[#This Row],[explanation2]]="O",1,0))</f>
        <v>0</v>
      </c>
      <c r="AD265" s="18">
        <f>IF(DataTable[[#This Row],[explanation1]]="TP",1,IF(DataTable[[#This Row],[explanation2]]="TP",1,0))</f>
        <v>0</v>
      </c>
      <c r="AE265" s="18">
        <f>IF(DataTable[[#This Row],[explanation1]]="WP",1,IF(DataTable[[#This Row],[explanation2]]="WP",1,0))</f>
        <v>0</v>
      </c>
      <c r="AF265" s="18">
        <f>IF(DataTable[[#This Row],[explanation1]]="BR",1,IF(DataTable[[#This Row],[explanation2]]="BR",1,0))</f>
        <v>0</v>
      </c>
      <c r="AG265" s="18">
        <f>IF(DataTable[[#This Row],[explanation1]]="LS",1,IF(DataTable[[#This Row],[explanation2]]="LS",1,0))</f>
        <v>0</v>
      </c>
      <c r="AH265" s="30" t="s">
        <v>332</v>
      </c>
    </row>
    <row r="266" spans="1:34" x14ac:dyDescent="0.2">
      <c r="A266" s="22">
        <v>264</v>
      </c>
      <c r="B266" s="23" t="s">
        <v>57</v>
      </c>
      <c r="C266" s="24" t="s">
        <v>45</v>
      </c>
      <c r="D266" s="25">
        <v>1</v>
      </c>
      <c r="E266" s="23" t="s">
        <v>58</v>
      </c>
      <c r="F266" s="25">
        <v>27</v>
      </c>
      <c r="G266" s="23" t="s">
        <v>47</v>
      </c>
      <c r="H266" s="24" t="s">
        <v>81</v>
      </c>
      <c r="I266" s="25" t="str">
        <f t="shared" si="4"/>
        <v>H1</v>
      </c>
      <c r="J266" s="23" t="s">
        <v>49</v>
      </c>
      <c r="K266" s="25" t="s">
        <v>78</v>
      </c>
      <c r="L266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266" s="24">
        <f>IF(DataTable[[#This Row],[3x head (H)/tail (T)?]]=DataTable[[#This Row],[then 4th: H/T/B/0]],1,0)</f>
        <v>0</v>
      </c>
      <c r="N266" s="24">
        <f>IF(DataTable[[#This Row],[then 4th: H/T/B/0]]="B",1,0)</f>
        <v>0</v>
      </c>
      <c r="O266" s="23" t="s">
        <v>331</v>
      </c>
      <c r="P266" s="24">
        <v>21</v>
      </c>
      <c r="Q266" s="168" t="s">
        <v>411</v>
      </c>
      <c r="R266" s="25" t="s">
        <v>58</v>
      </c>
      <c r="S266" s="27" t="s">
        <v>103</v>
      </c>
      <c r="T266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5</v>
      </c>
      <c r="U266" s="28" t="s">
        <v>333</v>
      </c>
      <c r="V266" s="29" t="s">
        <v>6</v>
      </c>
      <c r="W266" s="29"/>
      <c r="X266" s="27"/>
      <c r="Y266" s="27">
        <f>IF(DataTable[[#This Row],[explanation1]]="BL",1,IF(DataTable[[#This Row],[explanation2]]="BL",1,IF(DataTable[[#This Row],[explanation1]]="BR",1,IF(DataTable[[#This Row],[explanation2]]="BR",1,0))))</f>
        <v>1</v>
      </c>
      <c r="Z266" s="18">
        <f>IF(DataTable[[#This Row],[explanation1]]="BL",1,IF(DataTable[[#This Row],[explanation2]]="BL",1,0))</f>
        <v>1</v>
      </c>
      <c r="AA266" s="18">
        <f>IF(DataTable[[#This Row],[explanation1]]="WJ",1,IF(DataTable[[#This Row],[explanation2]]="WJ",1,0))</f>
        <v>0</v>
      </c>
      <c r="AB266" s="18">
        <f>IF(DataTable[[#This Row],[explanation1]]="U",1,IF(DataTable[[#This Row],[explanation2]]="U",1,0))</f>
        <v>0</v>
      </c>
      <c r="AC266" s="18">
        <f>IF(DataTable[[#This Row],[explanation1]]="O",1,IF(DataTable[[#This Row],[explanation2]]="O",1,0))</f>
        <v>0</v>
      </c>
      <c r="AD266" s="18">
        <f>IF(DataTable[[#This Row],[explanation1]]="TP",1,IF(DataTable[[#This Row],[explanation2]]="TP",1,0))</f>
        <v>0</v>
      </c>
      <c r="AE266" s="18">
        <f>IF(DataTable[[#This Row],[explanation1]]="WP",1,IF(DataTable[[#This Row],[explanation2]]="WP",1,0))</f>
        <v>0</v>
      </c>
      <c r="AF266" s="18">
        <f>IF(DataTable[[#This Row],[explanation1]]="BR",1,IF(DataTable[[#This Row],[explanation2]]="BR",1,0))</f>
        <v>0</v>
      </c>
      <c r="AG266" s="18">
        <f>IF(DataTable[[#This Row],[explanation1]]="LS",1,IF(DataTable[[#This Row],[explanation2]]="LS",1,0))</f>
        <v>0</v>
      </c>
      <c r="AH266" s="37" t="s">
        <v>6</v>
      </c>
    </row>
    <row r="267" spans="1:34" x14ac:dyDescent="0.2">
      <c r="A267" s="13">
        <v>265</v>
      </c>
      <c r="B267" s="14" t="s">
        <v>57</v>
      </c>
      <c r="C267" s="15" t="s">
        <v>45</v>
      </c>
      <c r="D267" s="16">
        <v>1</v>
      </c>
      <c r="E267" s="14" t="s">
        <v>58</v>
      </c>
      <c r="F267" s="16">
        <v>59</v>
      </c>
      <c r="G267" s="14" t="s">
        <v>47</v>
      </c>
      <c r="H267" s="15" t="s">
        <v>48</v>
      </c>
      <c r="I267" s="16" t="str">
        <f t="shared" si="4"/>
        <v>R</v>
      </c>
      <c r="J267" s="14" t="s">
        <v>49</v>
      </c>
      <c r="K267" s="16" t="s">
        <v>49</v>
      </c>
      <c r="L267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67" s="15">
        <f>IF(DataTable[[#This Row],[3x head (H)/tail (T)?]]=DataTable[[#This Row],[then 4th: H/T/B/0]],1,0)</f>
        <v>1</v>
      </c>
      <c r="N267" s="15">
        <f>IF(DataTable[[#This Row],[then 4th: H/T/B/0]]="B",1,0)</f>
        <v>0</v>
      </c>
      <c r="O267" s="14" t="s">
        <v>327</v>
      </c>
      <c r="P267" s="15">
        <v>21</v>
      </c>
      <c r="Q267" s="169" t="s">
        <v>118</v>
      </c>
      <c r="R267" s="16" t="s">
        <v>58</v>
      </c>
      <c r="S267" s="18" t="s">
        <v>61</v>
      </c>
      <c r="T267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4</v>
      </c>
      <c r="U267" s="19" t="s">
        <v>173</v>
      </c>
      <c r="V267" s="20" t="s">
        <v>7</v>
      </c>
      <c r="W267" s="20"/>
      <c r="X267" s="18"/>
      <c r="Y267" s="18">
        <f>IF(DataTable[[#This Row],[explanation1]]="BL",1,IF(DataTable[[#This Row],[explanation2]]="BL",1,IF(DataTable[[#This Row],[explanation1]]="BR",1,IF(DataTable[[#This Row],[explanation2]]="BR",1,0))))</f>
        <v>0</v>
      </c>
      <c r="Z267" s="18">
        <f>IF(DataTable[[#This Row],[explanation1]]="BL",1,IF(DataTable[[#This Row],[explanation2]]="BL",1,0))</f>
        <v>0</v>
      </c>
      <c r="AA267" s="18">
        <f>IF(DataTable[[#This Row],[explanation1]]="WJ",1,IF(DataTable[[#This Row],[explanation2]]="WJ",1,0))</f>
        <v>1</v>
      </c>
      <c r="AB267" s="18">
        <f>IF(DataTable[[#This Row],[explanation1]]="U",1,IF(DataTable[[#This Row],[explanation2]]="U",1,0))</f>
        <v>0</v>
      </c>
      <c r="AC267" s="18">
        <f>IF(DataTable[[#This Row],[explanation1]]="O",1,IF(DataTable[[#This Row],[explanation2]]="O",1,0))</f>
        <v>0</v>
      </c>
      <c r="AD267" s="18">
        <f>IF(DataTable[[#This Row],[explanation1]]="TP",1,IF(DataTable[[#This Row],[explanation2]]="TP",1,0))</f>
        <v>0</v>
      </c>
      <c r="AE267" s="18">
        <f>IF(DataTable[[#This Row],[explanation1]]="WP",1,IF(DataTable[[#This Row],[explanation2]]="WP",1,0))</f>
        <v>0</v>
      </c>
      <c r="AF267" s="18">
        <f>IF(DataTable[[#This Row],[explanation1]]="BR",1,IF(DataTable[[#This Row],[explanation2]]="BR",1,0))</f>
        <v>0</v>
      </c>
      <c r="AG267" s="18">
        <f>IF(DataTable[[#This Row],[explanation1]]="LS",1,IF(DataTable[[#This Row],[explanation2]]="LS",1,0))</f>
        <v>0</v>
      </c>
      <c r="AH267" s="30" t="s">
        <v>7</v>
      </c>
    </row>
    <row r="268" spans="1:34" x14ac:dyDescent="0.2">
      <c r="A268" s="22">
        <v>266</v>
      </c>
      <c r="B268" s="23" t="s">
        <v>57</v>
      </c>
      <c r="C268" s="24" t="s">
        <v>45</v>
      </c>
      <c r="D268" s="25">
        <v>50</v>
      </c>
      <c r="E268" s="23" t="s">
        <v>58</v>
      </c>
      <c r="F268" s="25">
        <v>20</v>
      </c>
      <c r="G268" s="23" t="s">
        <v>57</v>
      </c>
      <c r="H268" s="24" t="s">
        <v>48</v>
      </c>
      <c r="I268" s="25" t="str">
        <f t="shared" si="4"/>
        <v>H1</v>
      </c>
      <c r="J268" s="23" t="s">
        <v>78</v>
      </c>
      <c r="K268" s="25" t="s">
        <v>49</v>
      </c>
      <c r="L268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268" s="24">
        <f>IF(DataTable[[#This Row],[3x head (H)/tail (T)?]]=DataTable[[#This Row],[then 4th: H/T/B/0]],1,0)</f>
        <v>0</v>
      </c>
      <c r="N268" s="24">
        <f>IF(DataTable[[#This Row],[then 4th: H/T/B/0]]="B",1,0)</f>
        <v>0</v>
      </c>
      <c r="O268" s="23" t="s">
        <v>327</v>
      </c>
      <c r="P268" s="24">
        <v>14</v>
      </c>
      <c r="Q268" s="168" t="s">
        <v>411</v>
      </c>
      <c r="R268" s="25" t="s">
        <v>58</v>
      </c>
      <c r="S268" s="27" t="s">
        <v>75</v>
      </c>
      <c r="T268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268" s="28" t="s">
        <v>76</v>
      </c>
      <c r="V268" s="29" t="s">
        <v>9</v>
      </c>
      <c r="W268" s="29"/>
      <c r="X268" s="27"/>
      <c r="Y268" s="27">
        <f>IF(DataTable[[#This Row],[explanation1]]="BL",1,IF(DataTable[[#This Row],[explanation2]]="BL",1,IF(DataTable[[#This Row],[explanation1]]="BR",1,IF(DataTable[[#This Row],[explanation2]]="BR",1,0))))</f>
        <v>0</v>
      </c>
      <c r="Z268" s="18">
        <f>IF(DataTable[[#This Row],[explanation1]]="BL",1,IF(DataTable[[#This Row],[explanation2]]="BL",1,0))</f>
        <v>0</v>
      </c>
      <c r="AA268" s="18">
        <f>IF(DataTable[[#This Row],[explanation1]]="WJ",1,IF(DataTable[[#This Row],[explanation2]]="WJ",1,0))</f>
        <v>0</v>
      </c>
      <c r="AB268" s="18">
        <f>IF(DataTable[[#This Row],[explanation1]]="U",1,IF(DataTable[[#This Row],[explanation2]]="U",1,0))</f>
        <v>0</v>
      </c>
      <c r="AC268" s="18">
        <f>IF(DataTable[[#This Row],[explanation1]]="O",1,IF(DataTable[[#This Row],[explanation2]]="O",1,0))</f>
        <v>1</v>
      </c>
      <c r="AD268" s="18">
        <f>IF(DataTable[[#This Row],[explanation1]]="TP",1,IF(DataTable[[#This Row],[explanation2]]="TP",1,0))</f>
        <v>0</v>
      </c>
      <c r="AE268" s="18">
        <f>IF(DataTable[[#This Row],[explanation1]]="WP",1,IF(DataTable[[#This Row],[explanation2]]="WP",1,0))</f>
        <v>0</v>
      </c>
      <c r="AF268" s="18">
        <f>IF(DataTable[[#This Row],[explanation1]]="BR",1,IF(DataTable[[#This Row],[explanation2]]="BR",1,0))</f>
        <v>0</v>
      </c>
      <c r="AG268" s="18">
        <f>IF(DataTable[[#This Row],[explanation1]]="LS",1,IF(DataTable[[#This Row],[explanation2]]="LS",1,0))</f>
        <v>0</v>
      </c>
      <c r="AH268" s="37" t="s">
        <v>9</v>
      </c>
    </row>
    <row r="269" spans="1:34" x14ac:dyDescent="0.2">
      <c r="A269" s="13">
        <v>267</v>
      </c>
      <c r="B269" s="14" t="s">
        <v>57</v>
      </c>
      <c r="C269" s="15" t="s">
        <v>45</v>
      </c>
      <c r="D269" s="16">
        <v>50</v>
      </c>
      <c r="E269" s="14" t="s">
        <v>46</v>
      </c>
      <c r="F269" s="16">
        <v>37</v>
      </c>
      <c r="G269" s="14" t="s">
        <v>57</v>
      </c>
      <c r="H269" s="15" t="s">
        <v>48</v>
      </c>
      <c r="I269" s="16" t="str">
        <f t="shared" si="4"/>
        <v>H1</v>
      </c>
      <c r="J269" s="14" t="s">
        <v>78</v>
      </c>
      <c r="K269" s="16" t="s">
        <v>78</v>
      </c>
      <c r="L269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69" s="15">
        <f>IF(DataTable[[#This Row],[3x head (H)/tail (T)?]]=DataTable[[#This Row],[then 4th: H/T/B/0]],1,0)</f>
        <v>1</v>
      </c>
      <c r="N269" s="15">
        <f>IF(DataTable[[#This Row],[then 4th: H/T/B/0]]="B",1,0)</f>
        <v>0</v>
      </c>
      <c r="O269" s="14" t="s">
        <v>327</v>
      </c>
      <c r="P269" s="15">
        <v>14</v>
      </c>
      <c r="Q269" s="169" t="s">
        <v>118</v>
      </c>
      <c r="R269" s="16" t="s">
        <v>58</v>
      </c>
      <c r="S269" s="18" t="s">
        <v>65</v>
      </c>
      <c r="T269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269" s="19" t="s">
        <v>329</v>
      </c>
      <c r="V269" s="20" t="s">
        <v>9</v>
      </c>
      <c r="W269" s="20" t="s">
        <v>7</v>
      </c>
      <c r="X269" s="18"/>
      <c r="Y269" s="18">
        <f>IF(DataTable[[#This Row],[explanation1]]="BL",1,IF(DataTable[[#This Row],[explanation2]]="BL",1,IF(DataTable[[#This Row],[explanation1]]="BR",1,IF(DataTable[[#This Row],[explanation2]]="BR",1,0))))</f>
        <v>0</v>
      </c>
      <c r="Z269" s="18">
        <f>IF(DataTable[[#This Row],[explanation1]]="BL",1,IF(DataTable[[#This Row],[explanation2]]="BL",1,0))</f>
        <v>0</v>
      </c>
      <c r="AA269" s="18">
        <f>IF(DataTable[[#This Row],[explanation1]]="WJ",1,IF(DataTable[[#This Row],[explanation2]]="WJ",1,0))</f>
        <v>1</v>
      </c>
      <c r="AB269" s="18">
        <f>IF(DataTable[[#This Row],[explanation1]]="U",1,IF(DataTable[[#This Row],[explanation2]]="U",1,0))</f>
        <v>0</v>
      </c>
      <c r="AC269" s="18">
        <f>IF(DataTable[[#This Row],[explanation1]]="O",1,IF(DataTable[[#This Row],[explanation2]]="O",1,0))</f>
        <v>1</v>
      </c>
      <c r="AD269" s="18">
        <f>IF(DataTable[[#This Row],[explanation1]]="TP",1,IF(DataTable[[#This Row],[explanation2]]="TP",1,0))</f>
        <v>0</v>
      </c>
      <c r="AE269" s="18">
        <f>IF(DataTable[[#This Row],[explanation1]]="WP",1,IF(DataTable[[#This Row],[explanation2]]="WP",1,0))</f>
        <v>0</v>
      </c>
      <c r="AF269" s="18">
        <f>IF(DataTable[[#This Row],[explanation1]]="BR",1,IF(DataTable[[#This Row],[explanation2]]="BR",1,0))</f>
        <v>0</v>
      </c>
      <c r="AG269" s="18">
        <f>IF(DataTable[[#This Row],[explanation1]]="LS",1,IF(DataTable[[#This Row],[explanation2]]="LS",1,0))</f>
        <v>0</v>
      </c>
      <c r="AH269" s="30" t="s">
        <v>395</v>
      </c>
    </row>
    <row r="270" spans="1:34" x14ac:dyDescent="0.2">
      <c r="A270" s="22">
        <v>268</v>
      </c>
      <c r="B270" s="23" t="s">
        <v>57</v>
      </c>
      <c r="C270" s="24" t="s">
        <v>45</v>
      </c>
      <c r="D270" s="25">
        <v>50</v>
      </c>
      <c r="E270" s="23" t="s">
        <v>58</v>
      </c>
      <c r="F270" s="25">
        <v>21</v>
      </c>
      <c r="G270" s="23" t="s">
        <v>57</v>
      </c>
      <c r="H270" s="24" t="s">
        <v>81</v>
      </c>
      <c r="I270" s="25" t="str">
        <f t="shared" si="4"/>
        <v>R</v>
      </c>
      <c r="J270" s="23" t="s">
        <v>49</v>
      </c>
      <c r="K270" s="25" t="s">
        <v>50</v>
      </c>
      <c r="L270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70" s="24">
        <f>IF(DataTable[[#This Row],[3x head (H)/tail (T)?]]=DataTable[[#This Row],[then 4th: H/T/B/0]],1,0)</f>
        <v>0</v>
      </c>
      <c r="N270" s="24">
        <f>IF(DataTable[[#This Row],[then 4th: H/T/B/0]]="B",1,0)</f>
        <v>1</v>
      </c>
      <c r="O270" s="23" t="s">
        <v>327</v>
      </c>
      <c r="P270" s="24">
        <v>21</v>
      </c>
      <c r="Q270" s="168" t="s">
        <v>411</v>
      </c>
      <c r="R270" s="25" t="s">
        <v>58</v>
      </c>
      <c r="S270" s="27" t="s">
        <v>75</v>
      </c>
      <c r="T270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270" s="28" t="s">
        <v>76</v>
      </c>
      <c r="V270" s="29" t="s">
        <v>8</v>
      </c>
      <c r="W270" s="29"/>
      <c r="X270" s="27"/>
      <c r="Y270" s="27">
        <f>IF(DataTable[[#This Row],[explanation1]]="BL",1,IF(DataTable[[#This Row],[explanation2]]="BL",1,IF(DataTable[[#This Row],[explanation1]]="BR",1,IF(DataTable[[#This Row],[explanation2]]="BR",1,0))))</f>
        <v>0</v>
      </c>
      <c r="Z270" s="18">
        <f>IF(DataTable[[#This Row],[explanation1]]="BL",1,IF(DataTable[[#This Row],[explanation2]]="BL",1,0))</f>
        <v>0</v>
      </c>
      <c r="AA270" s="18">
        <f>IF(DataTable[[#This Row],[explanation1]]="WJ",1,IF(DataTable[[#This Row],[explanation2]]="WJ",1,0))</f>
        <v>0</v>
      </c>
      <c r="AB270" s="18">
        <f>IF(DataTable[[#This Row],[explanation1]]="U",1,IF(DataTable[[#This Row],[explanation2]]="U",1,0))</f>
        <v>1</v>
      </c>
      <c r="AC270" s="18">
        <f>IF(DataTable[[#This Row],[explanation1]]="O",1,IF(DataTable[[#This Row],[explanation2]]="O",1,0))</f>
        <v>0</v>
      </c>
      <c r="AD270" s="18">
        <f>IF(DataTable[[#This Row],[explanation1]]="TP",1,IF(DataTable[[#This Row],[explanation2]]="TP",1,0))</f>
        <v>0</v>
      </c>
      <c r="AE270" s="18">
        <f>IF(DataTable[[#This Row],[explanation1]]="WP",1,IF(DataTable[[#This Row],[explanation2]]="WP",1,0))</f>
        <v>0</v>
      </c>
      <c r="AF270" s="18">
        <f>IF(DataTable[[#This Row],[explanation1]]="BR",1,IF(DataTable[[#This Row],[explanation2]]="BR",1,0))</f>
        <v>0</v>
      </c>
      <c r="AG270" s="18">
        <f>IF(DataTable[[#This Row],[explanation1]]="LS",1,IF(DataTable[[#This Row],[explanation2]]="LS",1,0))</f>
        <v>0</v>
      </c>
      <c r="AH270" s="37" t="s">
        <v>8</v>
      </c>
    </row>
    <row r="271" spans="1:34" x14ac:dyDescent="0.2">
      <c r="A271" s="13">
        <v>269</v>
      </c>
      <c r="B271" s="14" t="s">
        <v>57</v>
      </c>
      <c r="C271" s="15" t="s">
        <v>45</v>
      </c>
      <c r="D271" s="16">
        <v>50</v>
      </c>
      <c r="E271" s="14" t="s">
        <v>46</v>
      </c>
      <c r="F271" s="16">
        <v>62</v>
      </c>
      <c r="G271" s="14" t="s">
        <v>47</v>
      </c>
      <c r="H271" s="15" t="s">
        <v>48</v>
      </c>
      <c r="I271" s="16" t="str">
        <f t="shared" si="4"/>
        <v>R</v>
      </c>
      <c r="J271" s="14" t="s">
        <v>49</v>
      </c>
      <c r="K271" s="16" t="s">
        <v>78</v>
      </c>
      <c r="L271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271" s="15">
        <f>IF(DataTable[[#This Row],[3x head (H)/tail (T)?]]=DataTable[[#This Row],[then 4th: H/T/B/0]],1,0)</f>
        <v>0</v>
      </c>
      <c r="N271" s="15">
        <f>IF(DataTable[[#This Row],[then 4th: H/T/B/0]]="B",1,0)</f>
        <v>0</v>
      </c>
      <c r="O271" s="14" t="s">
        <v>327</v>
      </c>
      <c r="P271" s="15">
        <v>21</v>
      </c>
      <c r="Q271" s="169" t="s">
        <v>118</v>
      </c>
      <c r="R271" s="16" t="s">
        <v>58</v>
      </c>
      <c r="S271" s="18" t="s">
        <v>75</v>
      </c>
      <c r="T271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271" s="19" t="s">
        <v>76</v>
      </c>
      <c r="V271" s="20" t="s">
        <v>6</v>
      </c>
      <c r="W271" s="20"/>
      <c r="X271" s="18"/>
      <c r="Y271" s="18">
        <f>IF(DataTable[[#This Row],[explanation1]]="BL",1,IF(DataTable[[#This Row],[explanation2]]="BL",1,IF(DataTable[[#This Row],[explanation1]]="BR",1,IF(DataTable[[#This Row],[explanation2]]="BR",1,0))))</f>
        <v>1</v>
      </c>
      <c r="Z271" s="18">
        <f>IF(DataTable[[#This Row],[explanation1]]="BL",1,IF(DataTable[[#This Row],[explanation2]]="BL",1,0))</f>
        <v>1</v>
      </c>
      <c r="AA271" s="18">
        <f>IF(DataTable[[#This Row],[explanation1]]="WJ",1,IF(DataTable[[#This Row],[explanation2]]="WJ",1,0))</f>
        <v>0</v>
      </c>
      <c r="AB271" s="18">
        <f>IF(DataTable[[#This Row],[explanation1]]="U",1,IF(DataTable[[#This Row],[explanation2]]="U",1,0))</f>
        <v>0</v>
      </c>
      <c r="AC271" s="18">
        <f>IF(DataTable[[#This Row],[explanation1]]="O",1,IF(DataTable[[#This Row],[explanation2]]="O",1,0))</f>
        <v>0</v>
      </c>
      <c r="AD271" s="18">
        <f>IF(DataTable[[#This Row],[explanation1]]="TP",1,IF(DataTable[[#This Row],[explanation2]]="TP",1,0))</f>
        <v>0</v>
      </c>
      <c r="AE271" s="18">
        <f>IF(DataTable[[#This Row],[explanation1]]="WP",1,IF(DataTable[[#This Row],[explanation2]]="WP",1,0))</f>
        <v>0</v>
      </c>
      <c r="AF271" s="18">
        <f>IF(DataTable[[#This Row],[explanation1]]="BR",1,IF(DataTable[[#This Row],[explanation2]]="BR",1,0))</f>
        <v>0</v>
      </c>
      <c r="AG271" s="18">
        <f>IF(DataTable[[#This Row],[explanation1]]="LS",1,IF(DataTable[[#This Row],[explanation2]]="LS",1,0))</f>
        <v>0</v>
      </c>
      <c r="AH271" s="30" t="s">
        <v>6</v>
      </c>
    </row>
    <row r="272" spans="1:34" x14ac:dyDescent="0.2">
      <c r="A272" s="22">
        <v>270</v>
      </c>
      <c r="B272" s="23" t="s">
        <v>68</v>
      </c>
      <c r="C272" s="24" t="s">
        <v>74</v>
      </c>
      <c r="D272" s="25">
        <v>1</v>
      </c>
      <c r="E272" s="23" t="s">
        <v>46</v>
      </c>
      <c r="F272" s="25">
        <v>30</v>
      </c>
      <c r="G272" s="23" t="s">
        <v>47</v>
      </c>
      <c r="H272" s="24" t="s">
        <v>48</v>
      </c>
      <c r="I272" s="25" t="str">
        <f t="shared" si="4"/>
        <v>R</v>
      </c>
      <c r="J272" s="23" t="s">
        <v>78</v>
      </c>
      <c r="K272" s="25" t="s">
        <v>50</v>
      </c>
      <c r="L272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72" s="24">
        <f>IF(DataTable[[#This Row],[3x head (H)/tail (T)?]]=DataTable[[#This Row],[then 4th: H/T/B/0]],1,0)</f>
        <v>0</v>
      </c>
      <c r="N272" s="24">
        <f>IF(DataTable[[#This Row],[then 4th: H/T/B/0]]="B",1,0)</f>
        <v>1</v>
      </c>
      <c r="O272" s="23" t="s">
        <v>327</v>
      </c>
      <c r="P272" s="24">
        <v>14</v>
      </c>
      <c r="Q272" s="168" t="s">
        <v>71</v>
      </c>
      <c r="R272" s="25" t="s">
        <v>58</v>
      </c>
      <c r="S272" s="27" t="s">
        <v>61</v>
      </c>
      <c r="T272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4</v>
      </c>
      <c r="U272" s="28" t="s">
        <v>173</v>
      </c>
      <c r="V272" s="29" t="s">
        <v>7</v>
      </c>
      <c r="W272" s="29"/>
      <c r="X272" s="27"/>
      <c r="Y272" s="27">
        <f>IF(DataTable[[#This Row],[explanation1]]="BL",1,IF(DataTable[[#This Row],[explanation2]]="BL",1,IF(DataTable[[#This Row],[explanation1]]="BR",1,IF(DataTable[[#This Row],[explanation2]]="BR",1,0))))</f>
        <v>0</v>
      </c>
      <c r="Z272" s="18">
        <f>IF(DataTable[[#This Row],[explanation1]]="BL",1,IF(DataTable[[#This Row],[explanation2]]="BL",1,0))</f>
        <v>0</v>
      </c>
      <c r="AA272" s="18">
        <f>IF(DataTable[[#This Row],[explanation1]]="WJ",1,IF(DataTable[[#This Row],[explanation2]]="WJ",1,0))</f>
        <v>1</v>
      </c>
      <c r="AB272" s="18">
        <f>IF(DataTable[[#This Row],[explanation1]]="U",1,IF(DataTable[[#This Row],[explanation2]]="U",1,0))</f>
        <v>0</v>
      </c>
      <c r="AC272" s="18">
        <f>IF(DataTable[[#This Row],[explanation1]]="O",1,IF(DataTable[[#This Row],[explanation2]]="O",1,0))</f>
        <v>0</v>
      </c>
      <c r="AD272" s="18">
        <f>IF(DataTable[[#This Row],[explanation1]]="TP",1,IF(DataTable[[#This Row],[explanation2]]="TP",1,0))</f>
        <v>0</v>
      </c>
      <c r="AE272" s="18">
        <f>IF(DataTable[[#This Row],[explanation1]]="WP",1,IF(DataTable[[#This Row],[explanation2]]="WP",1,0))</f>
        <v>0</v>
      </c>
      <c r="AF272" s="18">
        <f>IF(DataTable[[#This Row],[explanation1]]="BR",1,IF(DataTable[[#This Row],[explanation2]]="BR",1,0))</f>
        <v>0</v>
      </c>
      <c r="AG272" s="18">
        <f>IF(DataTable[[#This Row],[explanation1]]="LS",1,IF(DataTable[[#This Row],[explanation2]]="LS",1,0))</f>
        <v>0</v>
      </c>
      <c r="AH272" s="37" t="s">
        <v>7</v>
      </c>
    </row>
    <row r="273" spans="1:34" x14ac:dyDescent="0.2">
      <c r="A273" s="13">
        <v>271</v>
      </c>
      <c r="B273" s="14" t="s">
        <v>68</v>
      </c>
      <c r="C273" s="15" t="s">
        <v>74</v>
      </c>
      <c r="D273" s="16">
        <v>1</v>
      </c>
      <c r="E273" s="14" t="s">
        <v>58</v>
      </c>
      <c r="F273" s="16">
        <v>66</v>
      </c>
      <c r="G273" s="14" t="s">
        <v>47</v>
      </c>
      <c r="H273" s="15" t="s">
        <v>48</v>
      </c>
      <c r="I273" s="16" t="str">
        <f t="shared" si="4"/>
        <v>R</v>
      </c>
      <c r="J273" s="14" t="s">
        <v>78</v>
      </c>
      <c r="K273" s="16" t="s">
        <v>78</v>
      </c>
      <c r="L273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73" s="15">
        <f>IF(DataTable[[#This Row],[3x head (H)/tail (T)?]]=DataTable[[#This Row],[then 4th: H/T/B/0]],1,0)</f>
        <v>1</v>
      </c>
      <c r="N273" s="15">
        <f>IF(DataTable[[#This Row],[then 4th: H/T/B/0]]="B",1,0)</f>
        <v>0</v>
      </c>
      <c r="O273" s="14" t="s">
        <v>327</v>
      </c>
      <c r="P273" s="15">
        <v>14</v>
      </c>
      <c r="Q273" s="169" t="s">
        <v>118</v>
      </c>
      <c r="R273" s="16" t="s">
        <v>58</v>
      </c>
      <c r="S273" s="18" t="s">
        <v>103</v>
      </c>
      <c r="T273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5</v>
      </c>
      <c r="U273" s="19" t="s">
        <v>334</v>
      </c>
      <c r="V273" s="20" t="s">
        <v>11</v>
      </c>
      <c r="W273" s="20"/>
      <c r="X273" s="18"/>
      <c r="Y273" s="18">
        <f>IF(DataTable[[#This Row],[explanation1]]="BL",1,IF(DataTable[[#This Row],[explanation2]]="BL",1,IF(DataTable[[#This Row],[explanation1]]="BR",1,IF(DataTable[[#This Row],[explanation2]]="BR",1,0))))</f>
        <v>0</v>
      </c>
      <c r="Z273" s="18">
        <f>IF(DataTable[[#This Row],[explanation1]]="BL",1,IF(DataTable[[#This Row],[explanation2]]="BL",1,0))</f>
        <v>0</v>
      </c>
      <c r="AA273" s="18">
        <f>IF(DataTable[[#This Row],[explanation1]]="WJ",1,IF(DataTable[[#This Row],[explanation2]]="WJ",1,0))</f>
        <v>0</v>
      </c>
      <c r="AB273" s="18">
        <f>IF(DataTable[[#This Row],[explanation1]]="U",1,IF(DataTable[[#This Row],[explanation2]]="U",1,0))</f>
        <v>0</v>
      </c>
      <c r="AC273" s="18">
        <f>IF(DataTable[[#This Row],[explanation1]]="O",1,IF(DataTable[[#This Row],[explanation2]]="O",1,0))</f>
        <v>0</v>
      </c>
      <c r="AD273" s="18">
        <f>IF(DataTable[[#This Row],[explanation1]]="TP",1,IF(DataTable[[#This Row],[explanation2]]="TP",1,0))</f>
        <v>0</v>
      </c>
      <c r="AE273" s="18">
        <f>IF(DataTable[[#This Row],[explanation1]]="WP",1,IF(DataTable[[#This Row],[explanation2]]="WP",1,0))</f>
        <v>1</v>
      </c>
      <c r="AF273" s="18">
        <f>IF(DataTable[[#This Row],[explanation1]]="BR",1,IF(DataTable[[#This Row],[explanation2]]="BR",1,0))</f>
        <v>0</v>
      </c>
      <c r="AG273" s="18">
        <f>IF(DataTable[[#This Row],[explanation1]]="LS",1,IF(DataTable[[#This Row],[explanation2]]="LS",1,0))</f>
        <v>0</v>
      </c>
      <c r="AH273" s="30" t="s">
        <v>11</v>
      </c>
    </row>
    <row r="274" spans="1:34" x14ac:dyDescent="0.2">
      <c r="A274" s="22">
        <v>272</v>
      </c>
      <c r="B274" s="23" t="s">
        <v>68</v>
      </c>
      <c r="C274" s="24" t="s">
        <v>74</v>
      </c>
      <c r="D274" s="25">
        <v>1</v>
      </c>
      <c r="E274" s="23" t="s">
        <v>46</v>
      </c>
      <c r="F274" s="25">
        <v>63</v>
      </c>
      <c r="G274" s="23" t="s">
        <v>68</v>
      </c>
      <c r="H274" s="24" t="s">
        <v>48</v>
      </c>
      <c r="I274" s="25" t="str">
        <f t="shared" si="4"/>
        <v>H5</v>
      </c>
      <c r="J274" s="23" t="s">
        <v>78</v>
      </c>
      <c r="K274" s="25" t="s">
        <v>50</v>
      </c>
      <c r="L274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74" s="24">
        <f>IF(DataTable[[#This Row],[3x head (H)/tail (T)?]]=DataTable[[#This Row],[then 4th: H/T/B/0]],1,0)</f>
        <v>0</v>
      </c>
      <c r="N274" s="24">
        <f>IF(DataTable[[#This Row],[then 4th: H/T/B/0]]="B",1,0)</f>
        <v>1</v>
      </c>
      <c r="O274" s="23" t="s">
        <v>327</v>
      </c>
      <c r="P274" s="24">
        <v>14</v>
      </c>
      <c r="Q274" s="168" t="s">
        <v>118</v>
      </c>
      <c r="R274" s="25" t="s">
        <v>58</v>
      </c>
      <c r="S274" s="27" t="s">
        <v>103</v>
      </c>
      <c r="T274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5</v>
      </c>
      <c r="U274" s="28" t="s">
        <v>334</v>
      </c>
      <c r="V274" s="29" t="s">
        <v>9</v>
      </c>
      <c r="W274" s="29"/>
      <c r="X274" s="27"/>
      <c r="Y274" s="27">
        <f>IF(DataTable[[#This Row],[explanation1]]="BL",1,IF(DataTable[[#This Row],[explanation2]]="BL",1,IF(DataTable[[#This Row],[explanation1]]="BR",1,IF(DataTable[[#This Row],[explanation2]]="BR",1,0))))</f>
        <v>0</v>
      </c>
      <c r="Z274" s="18">
        <f>IF(DataTable[[#This Row],[explanation1]]="BL",1,IF(DataTable[[#This Row],[explanation2]]="BL",1,0))</f>
        <v>0</v>
      </c>
      <c r="AA274" s="18">
        <f>IF(DataTable[[#This Row],[explanation1]]="WJ",1,IF(DataTable[[#This Row],[explanation2]]="WJ",1,0))</f>
        <v>0</v>
      </c>
      <c r="AB274" s="18">
        <f>IF(DataTable[[#This Row],[explanation1]]="U",1,IF(DataTable[[#This Row],[explanation2]]="U",1,0))</f>
        <v>0</v>
      </c>
      <c r="AC274" s="18">
        <f>IF(DataTable[[#This Row],[explanation1]]="O",1,IF(DataTable[[#This Row],[explanation2]]="O",1,0))</f>
        <v>1</v>
      </c>
      <c r="AD274" s="18">
        <f>IF(DataTable[[#This Row],[explanation1]]="TP",1,IF(DataTable[[#This Row],[explanation2]]="TP",1,0))</f>
        <v>0</v>
      </c>
      <c r="AE274" s="18">
        <f>IF(DataTable[[#This Row],[explanation1]]="WP",1,IF(DataTable[[#This Row],[explanation2]]="WP",1,0))</f>
        <v>0</v>
      </c>
      <c r="AF274" s="18">
        <f>IF(DataTable[[#This Row],[explanation1]]="BR",1,IF(DataTable[[#This Row],[explanation2]]="BR",1,0))</f>
        <v>0</v>
      </c>
      <c r="AG274" s="18">
        <f>IF(DataTable[[#This Row],[explanation1]]="LS",1,IF(DataTable[[#This Row],[explanation2]]="LS",1,0))</f>
        <v>0</v>
      </c>
      <c r="AH274" s="37" t="s">
        <v>9</v>
      </c>
    </row>
    <row r="275" spans="1:34" x14ac:dyDescent="0.2">
      <c r="A275" s="13">
        <v>273</v>
      </c>
      <c r="B275" s="14" t="s">
        <v>68</v>
      </c>
      <c r="C275" s="15" t="s">
        <v>74</v>
      </c>
      <c r="D275" s="16">
        <v>1</v>
      </c>
      <c r="E275" s="14" t="s">
        <v>46</v>
      </c>
      <c r="F275" s="16">
        <v>20</v>
      </c>
      <c r="G275" s="14" t="s">
        <v>47</v>
      </c>
      <c r="H275" s="15" t="s">
        <v>48</v>
      </c>
      <c r="I275" s="16" t="str">
        <f t="shared" si="4"/>
        <v>R</v>
      </c>
      <c r="J275" s="14" t="s">
        <v>49</v>
      </c>
      <c r="K275" s="16" t="s">
        <v>50</v>
      </c>
      <c r="L275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75" s="15">
        <f>IF(DataTable[[#This Row],[3x head (H)/tail (T)?]]=DataTable[[#This Row],[then 4th: H/T/B/0]],1,0)</f>
        <v>0</v>
      </c>
      <c r="N275" s="15">
        <f>IF(DataTable[[#This Row],[then 4th: H/T/B/0]]="B",1,0)</f>
        <v>1</v>
      </c>
      <c r="O275" s="14" t="s">
        <v>327</v>
      </c>
      <c r="P275" s="15">
        <v>14</v>
      </c>
      <c r="Q275" s="169" t="s">
        <v>71</v>
      </c>
      <c r="R275" s="16" t="s">
        <v>58</v>
      </c>
      <c r="S275" s="18" t="s">
        <v>75</v>
      </c>
      <c r="T275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275" s="19" t="s">
        <v>328</v>
      </c>
      <c r="V275" s="20" t="s">
        <v>6</v>
      </c>
      <c r="W275" s="20"/>
      <c r="X275" s="18"/>
      <c r="Y275" s="18">
        <f>IF(DataTable[[#This Row],[explanation1]]="BL",1,IF(DataTable[[#This Row],[explanation2]]="BL",1,IF(DataTable[[#This Row],[explanation1]]="BR",1,IF(DataTable[[#This Row],[explanation2]]="BR",1,0))))</f>
        <v>1</v>
      </c>
      <c r="Z275" s="18">
        <f>IF(DataTable[[#This Row],[explanation1]]="BL",1,IF(DataTable[[#This Row],[explanation2]]="BL",1,0))</f>
        <v>1</v>
      </c>
      <c r="AA275" s="18">
        <f>IF(DataTable[[#This Row],[explanation1]]="WJ",1,IF(DataTable[[#This Row],[explanation2]]="WJ",1,0))</f>
        <v>0</v>
      </c>
      <c r="AB275" s="18">
        <f>IF(DataTable[[#This Row],[explanation1]]="U",1,IF(DataTable[[#This Row],[explanation2]]="U",1,0))</f>
        <v>0</v>
      </c>
      <c r="AC275" s="18">
        <f>IF(DataTable[[#This Row],[explanation1]]="O",1,IF(DataTable[[#This Row],[explanation2]]="O",1,0))</f>
        <v>0</v>
      </c>
      <c r="AD275" s="18">
        <f>IF(DataTable[[#This Row],[explanation1]]="TP",1,IF(DataTable[[#This Row],[explanation2]]="TP",1,0))</f>
        <v>0</v>
      </c>
      <c r="AE275" s="18">
        <f>IF(DataTable[[#This Row],[explanation1]]="WP",1,IF(DataTable[[#This Row],[explanation2]]="WP",1,0))</f>
        <v>0</v>
      </c>
      <c r="AF275" s="18">
        <f>IF(DataTable[[#This Row],[explanation1]]="BR",1,IF(DataTable[[#This Row],[explanation2]]="BR",1,0))</f>
        <v>0</v>
      </c>
      <c r="AG275" s="18">
        <f>IF(DataTable[[#This Row],[explanation1]]="LS",1,IF(DataTable[[#This Row],[explanation2]]="LS",1,0))</f>
        <v>0</v>
      </c>
      <c r="AH275" s="30" t="s">
        <v>6</v>
      </c>
    </row>
    <row r="276" spans="1:34" x14ac:dyDescent="0.2">
      <c r="A276" s="22">
        <v>274</v>
      </c>
      <c r="B276" s="23" t="s">
        <v>68</v>
      </c>
      <c r="C276" s="24" t="s">
        <v>74</v>
      </c>
      <c r="D276" s="25">
        <v>1</v>
      </c>
      <c r="E276" s="23" t="s">
        <v>46</v>
      </c>
      <c r="F276" s="25">
        <v>23</v>
      </c>
      <c r="G276" s="23" t="s">
        <v>68</v>
      </c>
      <c r="H276" s="24" t="s">
        <v>81</v>
      </c>
      <c r="I276" s="25" t="str">
        <f t="shared" si="4"/>
        <v>R</v>
      </c>
      <c r="J276" s="23" t="s">
        <v>49</v>
      </c>
      <c r="K276" s="25" t="s">
        <v>50</v>
      </c>
      <c r="L276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76" s="24">
        <f>IF(DataTable[[#This Row],[3x head (H)/tail (T)?]]=DataTable[[#This Row],[then 4th: H/T/B/0]],1,0)</f>
        <v>0</v>
      </c>
      <c r="N276" s="24">
        <f>IF(DataTable[[#This Row],[then 4th: H/T/B/0]]="B",1,0)</f>
        <v>1</v>
      </c>
      <c r="O276" s="23" t="s">
        <v>327</v>
      </c>
      <c r="P276" s="24">
        <v>14</v>
      </c>
      <c r="Q276" s="168" t="s">
        <v>118</v>
      </c>
      <c r="R276" s="25" t="s">
        <v>58</v>
      </c>
      <c r="S276" s="27" t="s">
        <v>61</v>
      </c>
      <c r="T276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4</v>
      </c>
      <c r="U276" s="28" t="s">
        <v>330</v>
      </c>
      <c r="V276" s="29" t="s">
        <v>13</v>
      </c>
      <c r="W276" s="29"/>
      <c r="X276" s="27"/>
      <c r="Y276" s="27">
        <f>IF(DataTable[[#This Row],[explanation1]]="BL",1,IF(DataTable[[#This Row],[explanation2]]="BL",1,IF(DataTable[[#This Row],[explanation1]]="BR",1,IF(DataTable[[#This Row],[explanation2]]="BR",1,0))))</f>
        <v>0</v>
      </c>
      <c r="Z276" s="18">
        <f>IF(DataTable[[#This Row],[explanation1]]="BL",1,IF(DataTable[[#This Row],[explanation2]]="BL",1,0))</f>
        <v>0</v>
      </c>
      <c r="AA276" s="18">
        <f>IF(DataTable[[#This Row],[explanation1]]="WJ",1,IF(DataTable[[#This Row],[explanation2]]="WJ",1,0))</f>
        <v>0</v>
      </c>
      <c r="AB276" s="18">
        <f>IF(DataTable[[#This Row],[explanation1]]="U",1,IF(DataTable[[#This Row],[explanation2]]="U",1,0))</f>
        <v>0</v>
      </c>
      <c r="AC276" s="18">
        <f>IF(DataTable[[#This Row],[explanation1]]="O",1,IF(DataTable[[#This Row],[explanation2]]="O",1,0))</f>
        <v>0</v>
      </c>
      <c r="AD276" s="18">
        <f>IF(DataTable[[#This Row],[explanation1]]="TP",1,IF(DataTable[[#This Row],[explanation2]]="TP",1,0))</f>
        <v>0</v>
      </c>
      <c r="AE276" s="18">
        <f>IF(DataTable[[#This Row],[explanation1]]="WP",1,IF(DataTable[[#This Row],[explanation2]]="WP",1,0))</f>
        <v>0</v>
      </c>
      <c r="AF276" s="18">
        <f>IF(DataTable[[#This Row],[explanation1]]="BR",1,IF(DataTable[[#This Row],[explanation2]]="BR",1,0))</f>
        <v>0</v>
      </c>
      <c r="AG276" s="18">
        <f>IF(DataTable[[#This Row],[explanation1]]="LS",1,IF(DataTable[[#This Row],[explanation2]]="LS",1,0))</f>
        <v>1</v>
      </c>
      <c r="AH276" s="37" t="s">
        <v>13</v>
      </c>
    </row>
    <row r="277" spans="1:34" x14ac:dyDescent="0.2">
      <c r="A277" s="13">
        <v>275</v>
      </c>
      <c r="B277" s="14" t="s">
        <v>68</v>
      </c>
      <c r="C277" s="15" t="s">
        <v>74</v>
      </c>
      <c r="D277" s="16">
        <v>50</v>
      </c>
      <c r="E277" s="14" t="s">
        <v>58</v>
      </c>
      <c r="F277" s="16">
        <v>22</v>
      </c>
      <c r="G277" s="14" t="s">
        <v>47</v>
      </c>
      <c r="H277" s="15" t="s">
        <v>48</v>
      </c>
      <c r="I277" s="16" t="str">
        <f t="shared" si="4"/>
        <v>R</v>
      </c>
      <c r="J277" s="14" t="s">
        <v>78</v>
      </c>
      <c r="K277" s="16" t="s">
        <v>50</v>
      </c>
      <c r="L277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77" s="15">
        <f>IF(DataTable[[#This Row],[3x head (H)/tail (T)?]]=DataTable[[#This Row],[then 4th: H/T/B/0]],1,0)</f>
        <v>0</v>
      </c>
      <c r="N277" s="15">
        <f>IF(DataTable[[#This Row],[then 4th: H/T/B/0]]="B",1,0)</f>
        <v>1</v>
      </c>
      <c r="O277" s="14" t="s">
        <v>335</v>
      </c>
      <c r="P277" s="15">
        <v>14</v>
      </c>
      <c r="Q277" s="169" t="s">
        <v>118</v>
      </c>
      <c r="R277" s="16" t="s">
        <v>58</v>
      </c>
      <c r="S277" s="18" t="s">
        <v>75</v>
      </c>
      <c r="T277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277" s="19" t="s">
        <v>328</v>
      </c>
      <c r="V277" s="20" t="s">
        <v>8</v>
      </c>
      <c r="W277" s="20"/>
      <c r="X277" s="18"/>
      <c r="Y277" s="18">
        <f>IF(DataTable[[#This Row],[explanation1]]="BL",1,IF(DataTable[[#This Row],[explanation2]]="BL",1,IF(DataTable[[#This Row],[explanation1]]="BR",1,IF(DataTable[[#This Row],[explanation2]]="BR",1,0))))</f>
        <v>0</v>
      </c>
      <c r="Z277" s="18">
        <f>IF(DataTable[[#This Row],[explanation1]]="BL",1,IF(DataTable[[#This Row],[explanation2]]="BL",1,0))</f>
        <v>0</v>
      </c>
      <c r="AA277" s="18">
        <f>IF(DataTable[[#This Row],[explanation1]]="WJ",1,IF(DataTable[[#This Row],[explanation2]]="WJ",1,0))</f>
        <v>0</v>
      </c>
      <c r="AB277" s="18">
        <f>IF(DataTable[[#This Row],[explanation1]]="U",1,IF(DataTable[[#This Row],[explanation2]]="U",1,0))</f>
        <v>1</v>
      </c>
      <c r="AC277" s="18">
        <f>IF(DataTable[[#This Row],[explanation1]]="O",1,IF(DataTable[[#This Row],[explanation2]]="O",1,0))</f>
        <v>0</v>
      </c>
      <c r="AD277" s="18">
        <f>IF(DataTable[[#This Row],[explanation1]]="TP",1,IF(DataTable[[#This Row],[explanation2]]="TP",1,0))</f>
        <v>0</v>
      </c>
      <c r="AE277" s="18">
        <f>IF(DataTable[[#This Row],[explanation1]]="WP",1,IF(DataTable[[#This Row],[explanation2]]="WP",1,0))</f>
        <v>0</v>
      </c>
      <c r="AF277" s="18">
        <f>IF(DataTable[[#This Row],[explanation1]]="BR",1,IF(DataTable[[#This Row],[explanation2]]="BR",1,0))</f>
        <v>0</v>
      </c>
      <c r="AG277" s="18">
        <f>IF(DataTable[[#This Row],[explanation1]]="LS",1,IF(DataTable[[#This Row],[explanation2]]="LS",1,0))</f>
        <v>0</v>
      </c>
      <c r="AH277" s="30" t="s">
        <v>336</v>
      </c>
    </row>
    <row r="278" spans="1:34" x14ac:dyDescent="0.2">
      <c r="A278" s="22">
        <v>276</v>
      </c>
      <c r="B278" s="23" t="s">
        <v>68</v>
      </c>
      <c r="C278" s="24" t="s">
        <v>74</v>
      </c>
      <c r="D278" s="25">
        <v>50</v>
      </c>
      <c r="E278" s="23" t="s">
        <v>46</v>
      </c>
      <c r="F278" s="25">
        <v>24</v>
      </c>
      <c r="G278" s="23" t="s">
        <v>68</v>
      </c>
      <c r="H278" s="24" t="s">
        <v>48</v>
      </c>
      <c r="I278" s="25" t="str">
        <f t="shared" si="4"/>
        <v>H5</v>
      </c>
      <c r="J278" s="23" t="s">
        <v>78</v>
      </c>
      <c r="K278" s="25" t="s">
        <v>50</v>
      </c>
      <c r="L278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78" s="24">
        <f>IF(DataTable[[#This Row],[3x head (H)/tail (T)?]]=DataTable[[#This Row],[then 4th: H/T/B/0]],1,0)</f>
        <v>0</v>
      </c>
      <c r="N278" s="24">
        <f>IF(DataTable[[#This Row],[then 4th: H/T/B/0]]="B",1,0)</f>
        <v>1</v>
      </c>
      <c r="O278" s="23" t="s">
        <v>335</v>
      </c>
      <c r="P278" s="24">
        <v>14</v>
      </c>
      <c r="Q278" s="168" t="s">
        <v>118</v>
      </c>
      <c r="R278" s="25" t="s">
        <v>58</v>
      </c>
      <c r="S278" s="27" t="s">
        <v>75</v>
      </c>
      <c r="T278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278" s="28" t="s">
        <v>76</v>
      </c>
      <c r="V278" s="29" t="s">
        <v>9</v>
      </c>
      <c r="W278" s="29"/>
      <c r="X278" s="27"/>
      <c r="Y278" s="27">
        <f>IF(DataTable[[#This Row],[explanation1]]="BL",1,IF(DataTable[[#This Row],[explanation2]]="BL",1,IF(DataTable[[#This Row],[explanation1]]="BR",1,IF(DataTable[[#This Row],[explanation2]]="BR",1,0))))</f>
        <v>0</v>
      </c>
      <c r="Z278" s="18">
        <f>IF(DataTable[[#This Row],[explanation1]]="BL",1,IF(DataTable[[#This Row],[explanation2]]="BL",1,0))</f>
        <v>0</v>
      </c>
      <c r="AA278" s="18">
        <f>IF(DataTable[[#This Row],[explanation1]]="WJ",1,IF(DataTable[[#This Row],[explanation2]]="WJ",1,0))</f>
        <v>0</v>
      </c>
      <c r="AB278" s="18">
        <f>IF(DataTable[[#This Row],[explanation1]]="U",1,IF(DataTable[[#This Row],[explanation2]]="U",1,0))</f>
        <v>0</v>
      </c>
      <c r="AC278" s="18">
        <f>IF(DataTable[[#This Row],[explanation1]]="O",1,IF(DataTable[[#This Row],[explanation2]]="O",1,0))</f>
        <v>1</v>
      </c>
      <c r="AD278" s="18">
        <f>IF(DataTable[[#This Row],[explanation1]]="TP",1,IF(DataTable[[#This Row],[explanation2]]="TP",1,0))</f>
        <v>0</v>
      </c>
      <c r="AE278" s="18">
        <f>IF(DataTable[[#This Row],[explanation1]]="WP",1,IF(DataTable[[#This Row],[explanation2]]="WP",1,0))</f>
        <v>0</v>
      </c>
      <c r="AF278" s="18">
        <f>IF(DataTable[[#This Row],[explanation1]]="BR",1,IF(DataTable[[#This Row],[explanation2]]="BR",1,0))</f>
        <v>0</v>
      </c>
      <c r="AG278" s="18">
        <f>IF(DataTable[[#This Row],[explanation1]]="LS",1,IF(DataTable[[#This Row],[explanation2]]="LS",1,0))</f>
        <v>0</v>
      </c>
      <c r="AH278" s="37" t="s">
        <v>9</v>
      </c>
    </row>
    <row r="279" spans="1:34" x14ac:dyDescent="0.2">
      <c r="A279" s="13">
        <v>277</v>
      </c>
      <c r="B279" s="14" t="s">
        <v>68</v>
      </c>
      <c r="C279" s="15" t="s">
        <v>74</v>
      </c>
      <c r="D279" s="16">
        <v>50</v>
      </c>
      <c r="E279" s="14" t="s">
        <v>46</v>
      </c>
      <c r="F279" s="16">
        <v>36</v>
      </c>
      <c r="G279" s="14" t="s">
        <v>47</v>
      </c>
      <c r="H279" s="15" t="s">
        <v>48</v>
      </c>
      <c r="I279" s="16" t="str">
        <f t="shared" si="4"/>
        <v>R</v>
      </c>
      <c r="J279" s="14" t="s">
        <v>49</v>
      </c>
      <c r="K279" s="16" t="s">
        <v>50</v>
      </c>
      <c r="L279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79" s="15">
        <f>IF(DataTable[[#This Row],[3x head (H)/tail (T)?]]=DataTable[[#This Row],[then 4th: H/T/B/0]],1,0)</f>
        <v>0</v>
      </c>
      <c r="N279" s="15">
        <f>IF(DataTable[[#This Row],[then 4th: H/T/B/0]]="B",1,0)</f>
        <v>1</v>
      </c>
      <c r="O279" s="14" t="s">
        <v>335</v>
      </c>
      <c r="P279" s="15">
        <v>14</v>
      </c>
      <c r="Q279" s="169" t="s">
        <v>118</v>
      </c>
      <c r="R279" s="16" t="s">
        <v>58</v>
      </c>
      <c r="S279" s="18" t="s">
        <v>61</v>
      </c>
      <c r="T279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4</v>
      </c>
      <c r="U279" s="19" t="s">
        <v>337</v>
      </c>
      <c r="V279" s="20" t="s">
        <v>9</v>
      </c>
      <c r="W279" s="20"/>
      <c r="X279" s="18"/>
      <c r="Y279" s="18">
        <f>IF(DataTable[[#This Row],[explanation1]]="BL",1,IF(DataTable[[#This Row],[explanation2]]="BL",1,IF(DataTable[[#This Row],[explanation1]]="BR",1,IF(DataTable[[#This Row],[explanation2]]="BR",1,0))))</f>
        <v>0</v>
      </c>
      <c r="Z279" s="18">
        <f>IF(DataTable[[#This Row],[explanation1]]="BL",1,IF(DataTable[[#This Row],[explanation2]]="BL",1,0))</f>
        <v>0</v>
      </c>
      <c r="AA279" s="18">
        <f>IF(DataTable[[#This Row],[explanation1]]="WJ",1,IF(DataTable[[#This Row],[explanation2]]="WJ",1,0))</f>
        <v>0</v>
      </c>
      <c r="AB279" s="18">
        <f>IF(DataTable[[#This Row],[explanation1]]="U",1,IF(DataTable[[#This Row],[explanation2]]="U",1,0))</f>
        <v>0</v>
      </c>
      <c r="AC279" s="18">
        <f>IF(DataTable[[#This Row],[explanation1]]="O",1,IF(DataTable[[#This Row],[explanation2]]="O",1,0))</f>
        <v>1</v>
      </c>
      <c r="AD279" s="18">
        <f>IF(DataTable[[#This Row],[explanation1]]="TP",1,IF(DataTable[[#This Row],[explanation2]]="TP",1,0))</f>
        <v>0</v>
      </c>
      <c r="AE279" s="18">
        <f>IF(DataTable[[#This Row],[explanation1]]="WP",1,IF(DataTable[[#This Row],[explanation2]]="WP",1,0))</f>
        <v>0</v>
      </c>
      <c r="AF279" s="18">
        <f>IF(DataTable[[#This Row],[explanation1]]="BR",1,IF(DataTable[[#This Row],[explanation2]]="BR",1,0))</f>
        <v>0</v>
      </c>
      <c r="AG279" s="18">
        <f>IF(DataTable[[#This Row],[explanation1]]="LS",1,IF(DataTable[[#This Row],[explanation2]]="LS",1,0))</f>
        <v>0</v>
      </c>
      <c r="AH279" s="30" t="s">
        <v>9</v>
      </c>
    </row>
    <row r="280" spans="1:34" x14ac:dyDescent="0.2">
      <c r="A280" s="22">
        <v>278</v>
      </c>
      <c r="B280" s="23" t="s">
        <v>68</v>
      </c>
      <c r="C280" s="24" t="s">
        <v>74</v>
      </c>
      <c r="D280" s="25">
        <v>50</v>
      </c>
      <c r="E280" s="23" t="s">
        <v>46</v>
      </c>
      <c r="F280" s="25">
        <v>55</v>
      </c>
      <c r="G280" s="23" t="s">
        <v>68</v>
      </c>
      <c r="H280" s="24" t="s">
        <v>48</v>
      </c>
      <c r="I280" s="25" t="str">
        <f t="shared" si="4"/>
        <v>H5</v>
      </c>
      <c r="J280" s="23" t="s">
        <v>49</v>
      </c>
      <c r="K280" s="25" t="s">
        <v>78</v>
      </c>
      <c r="L280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280" s="24">
        <f>IF(DataTable[[#This Row],[3x head (H)/tail (T)?]]=DataTable[[#This Row],[then 4th: H/T/B/0]],1,0)</f>
        <v>0</v>
      </c>
      <c r="N280" s="24">
        <f>IF(DataTable[[#This Row],[then 4th: H/T/B/0]]="B",1,0)</f>
        <v>0</v>
      </c>
      <c r="O280" s="23" t="s">
        <v>335</v>
      </c>
      <c r="P280" s="24">
        <v>14</v>
      </c>
      <c r="Q280" s="168" t="s">
        <v>118</v>
      </c>
      <c r="R280" s="25" t="s">
        <v>58</v>
      </c>
      <c r="S280" s="27" t="s">
        <v>103</v>
      </c>
      <c r="T280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5</v>
      </c>
      <c r="U280" s="28" t="s">
        <v>333</v>
      </c>
      <c r="V280" s="29" t="s">
        <v>8</v>
      </c>
      <c r="W280" s="29"/>
      <c r="X280" s="27"/>
      <c r="Y280" s="27">
        <f>IF(DataTable[[#This Row],[explanation1]]="BL",1,IF(DataTable[[#This Row],[explanation2]]="BL",1,IF(DataTable[[#This Row],[explanation1]]="BR",1,IF(DataTable[[#This Row],[explanation2]]="BR",1,0))))</f>
        <v>0</v>
      </c>
      <c r="Z280" s="18">
        <f>IF(DataTable[[#This Row],[explanation1]]="BL",1,IF(DataTable[[#This Row],[explanation2]]="BL",1,0))</f>
        <v>0</v>
      </c>
      <c r="AA280" s="18">
        <f>IF(DataTable[[#This Row],[explanation1]]="WJ",1,IF(DataTable[[#This Row],[explanation2]]="WJ",1,0))</f>
        <v>0</v>
      </c>
      <c r="AB280" s="18">
        <f>IF(DataTable[[#This Row],[explanation1]]="U",1,IF(DataTable[[#This Row],[explanation2]]="U",1,0))</f>
        <v>1</v>
      </c>
      <c r="AC280" s="18">
        <f>IF(DataTable[[#This Row],[explanation1]]="O",1,IF(DataTable[[#This Row],[explanation2]]="O",1,0))</f>
        <v>0</v>
      </c>
      <c r="AD280" s="18">
        <f>IF(DataTable[[#This Row],[explanation1]]="TP",1,IF(DataTable[[#This Row],[explanation2]]="TP",1,0))</f>
        <v>0</v>
      </c>
      <c r="AE280" s="18">
        <f>IF(DataTable[[#This Row],[explanation1]]="WP",1,IF(DataTable[[#This Row],[explanation2]]="WP",1,0))</f>
        <v>0</v>
      </c>
      <c r="AF280" s="18">
        <f>IF(DataTable[[#This Row],[explanation1]]="BR",1,IF(DataTable[[#This Row],[explanation2]]="BR",1,0))</f>
        <v>0</v>
      </c>
      <c r="AG280" s="18">
        <f>IF(DataTable[[#This Row],[explanation1]]="LS",1,IF(DataTable[[#This Row],[explanation2]]="LS",1,0))</f>
        <v>0</v>
      </c>
      <c r="AH280" s="37" t="s">
        <v>8</v>
      </c>
    </row>
    <row r="281" spans="1:34" x14ac:dyDescent="0.2">
      <c r="A281" s="13">
        <v>279</v>
      </c>
      <c r="B281" s="14" t="s">
        <v>68</v>
      </c>
      <c r="C281" s="15" t="s">
        <v>74</v>
      </c>
      <c r="D281" s="16">
        <v>50</v>
      </c>
      <c r="E281" s="14" t="s">
        <v>58</v>
      </c>
      <c r="F281" s="16">
        <v>64</v>
      </c>
      <c r="G281" s="14" t="s">
        <v>47</v>
      </c>
      <c r="H281" s="15" t="s">
        <v>48</v>
      </c>
      <c r="I281" s="16" t="str">
        <f t="shared" si="4"/>
        <v>R</v>
      </c>
      <c r="J281" s="14" t="s">
        <v>49</v>
      </c>
      <c r="K281" s="16" t="s">
        <v>50</v>
      </c>
      <c r="L281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81" s="15">
        <f>IF(DataTable[[#This Row],[3x head (H)/tail (T)?]]=DataTable[[#This Row],[then 4th: H/T/B/0]],1,0)</f>
        <v>0</v>
      </c>
      <c r="N281" s="15">
        <f>IF(DataTable[[#This Row],[then 4th: H/T/B/0]]="B",1,0)</f>
        <v>1</v>
      </c>
      <c r="O281" s="14" t="s">
        <v>327</v>
      </c>
      <c r="P281" s="15">
        <v>21</v>
      </c>
      <c r="Q281" s="169" t="s">
        <v>118</v>
      </c>
      <c r="R281" s="16" t="s">
        <v>58</v>
      </c>
      <c r="S281" s="18" t="s">
        <v>75</v>
      </c>
      <c r="T281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281" s="19" t="s">
        <v>76</v>
      </c>
      <c r="V281" s="20" t="s">
        <v>6</v>
      </c>
      <c r="W281" s="20"/>
      <c r="X281" s="18"/>
      <c r="Y281" s="18">
        <f>IF(DataTable[[#This Row],[explanation1]]="BL",1,IF(DataTable[[#This Row],[explanation2]]="BL",1,IF(DataTable[[#This Row],[explanation1]]="BR",1,IF(DataTable[[#This Row],[explanation2]]="BR",1,0))))</f>
        <v>1</v>
      </c>
      <c r="Z281" s="18">
        <f>IF(DataTable[[#This Row],[explanation1]]="BL",1,IF(DataTable[[#This Row],[explanation2]]="BL",1,0))</f>
        <v>1</v>
      </c>
      <c r="AA281" s="18">
        <f>IF(DataTable[[#This Row],[explanation1]]="WJ",1,IF(DataTable[[#This Row],[explanation2]]="WJ",1,0))</f>
        <v>0</v>
      </c>
      <c r="AB281" s="18">
        <f>IF(DataTable[[#This Row],[explanation1]]="U",1,IF(DataTable[[#This Row],[explanation2]]="U",1,0))</f>
        <v>0</v>
      </c>
      <c r="AC281" s="18">
        <f>IF(DataTable[[#This Row],[explanation1]]="O",1,IF(DataTable[[#This Row],[explanation2]]="O",1,0))</f>
        <v>0</v>
      </c>
      <c r="AD281" s="18">
        <f>IF(DataTable[[#This Row],[explanation1]]="TP",1,IF(DataTable[[#This Row],[explanation2]]="TP",1,0))</f>
        <v>0</v>
      </c>
      <c r="AE281" s="18">
        <f>IF(DataTable[[#This Row],[explanation1]]="WP",1,IF(DataTable[[#This Row],[explanation2]]="WP",1,0))</f>
        <v>0</v>
      </c>
      <c r="AF281" s="18">
        <f>IF(DataTable[[#This Row],[explanation1]]="BR",1,IF(DataTable[[#This Row],[explanation2]]="BR",1,0))</f>
        <v>0</v>
      </c>
      <c r="AG281" s="18">
        <f>IF(DataTable[[#This Row],[explanation1]]="LS",1,IF(DataTable[[#This Row],[explanation2]]="LS",1,0))</f>
        <v>0</v>
      </c>
      <c r="AH281" s="30" t="s">
        <v>6</v>
      </c>
    </row>
    <row r="282" spans="1:34" x14ac:dyDescent="0.2">
      <c r="A282" s="22">
        <v>280</v>
      </c>
      <c r="B282" s="23" t="s">
        <v>68</v>
      </c>
      <c r="C282" s="24" t="s">
        <v>45</v>
      </c>
      <c r="D282" s="25">
        <v>1</v>
      </c>
      <c r="E282" s="23" t="s">
        <v>46</v>
      </c>
      <c r="F282" s="25">
        <v>23</v>
      </c>
      <c r="G282" s="23" t="s">
        <v>68</v>
      </c>
      <c r="H282" s="24" t="s">
        <v>81</v>
      </c>
      <c r="I282" s="25" t="str">
        <f t="shared" si="4"/>
        <v>R</v>
      </c>
      <c r="J282" s="23" t="s">
        <v>78</v>
      </c>
      <c r="K282" s="25" t="s">
        <v>50</v>
      </c>
      <c r="L282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82" s="24">
        <f>IF(DataTable[[#This Row],[3x head (H)/tail (T)?]]=DataTable[[#This Row],[then 4th: H/T/B/0]],1,0)</f>
        <v>0</v>
      </c>
      <c r="N282" s="24">
        <f>IF(DataTable[[#This Row],[then 4th: H/T/B/0]]="B",1,0)</f>
        <v>1</v>
      </c>
      <c r="O282" s="23" t="s">
        <v>335</v>
      </c>
      <c r="P282" s="24">
        <v>14</v>
      </c>
      <c r="Q282" s="168" t="s">
        <v>411</v>
      </c>
      <c r="R282" s="25" t="s">
        <v>58</v>
      </c>
      <c r="S282" s="27" t="s">
        <v>54</v>
      </c>
      <c r="T282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282" s="28" t="s">
        <v>88</v>
      </c>
      <c r="V282" s="29" t="s">
        <v>7</v>
      </c>
      <c r="W282" s="29"/>
      <c r="X282" s="27"/>
      <c r="Y282" s="27">
        <f>IF(DataTable[[#This Row],[explanation1]]="BL",1,IF(DataTable[[#This Row],[explanation2]]="BL",1,IF(DataTable[[#This Row],[explanation1]]="BR",1,IF(DataTable[[#This Row],[explanation2]]="BR",1,0))))</f>
        <v>0</v>
      </c>
      <c r="Z282" s="18">
        <f>IF(DataTable[[#This Row],[explanation1]]="BL",1,IF(DataTable[[#This Row],[explanation2]]="BL",1,0))</f>
        <v>0</v>
      </c>
      <c r="AA282" s="18">
        <f>IF(DataTable[[#This Row],[explanation1]]="WJ",1,IF(DataTable[[#This Row],[explanation2]]="WJ",1,0))</f>
        <v>1</v>
      </c>
      <c r="AB282" s="18">
        <f>IF(DataTable[[#This Row],[explanation1]]="U",1,IF(DataTable[[#This Row],[explanation2]]="U",1,0))</f>
        <v>0</v>
      </c>
      <c r="AC282" s="18">
        <f>IF(DataTable[[#This Row],[explanation1]]="O",1,IF(DataTable[[#This Row],[explanation2]]="O",1,0))</f>
        <v>0</v>
      </c>
      <c r="AD282" s="18">
        <f>IF(DataTable[[#This Row],[explanation1]]="TP",1,IF(DataTable[[#This Row],[explanation2]]="TP",1,0))</f>
        <v>0</v>
      </c>
      <c r="AE282" s="18">
        <f>IF(DataTable[[#This Row],[explanation1]]="WP",1,IF(DataTable[[#This Row],[explanation2]]="WP",1,0))</f>
        <v>0</v>
      </c>
      <c r="AF282" s="18">
        <f>IF(DataTable[[#This Row],[explanation1]]="BR",1,IF(DataTable[[#This Row],[explanation2]]="BR",1,0))</f>
        <v>0</v>
      </c>
      <c r="AG282" s="18">
        <f>IF(DataTable[[#This Row],[explanation1]]="LS",1,IF(DataTable[[#This Row],[explanation2]]="LS",1,0))</f>
        <v>0</v>
      </c>
      <c r="AH282" s="37" t="s">
        <v>7</v>
      </c>
    </row>
    <row r="283" spans="1:34" x14ac:dyDescent="0.2">
      <c r="A283" s="13">
        <v>281</v>
      </c>
      <c r="B283" s="14" t="s">
        <v>68</v>
      </c>
      <c r="C283" s="15" t="s">
        <v>45</v>
      </c>
      <c r="D283" s="16">
        <v>1</v>
      </c>
      <c r="E283" s="14" t="s">
        <v>58</v>
      </c>
      <c r="F283" s="16">
        <v>21</v>
      </c>
      <c r="G283" s="14" t="s">
        <v>68</v>
      </c>
      <c r="H283" s="15" t="s">
        <v>81</v>
      </c>
      <c r="I283" s="16" t="str">
        <f t="shared" si="4"/>
        <v>R</v>
      </c>
      <c r="J283" s="14" t="s">
        <v>78</v>
      </c>
      <c r="K283" s="16" t="s">
        <v>50</v>
      </c>
      <c r="L283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83" s="15">
        <f>IF(DataTable[[#This Row],[3x head (H)/tail (T)?]]=DataTable[[#This Row],[then 4th: H/T/B/0]],1,0)</f>
        <v>0</v>
      </c>
      <c r="N283" s="15">
        <f>IF(DataTable[[#This Row],[then 4th: H/T/B/0]]="B",1,0)</f>
        <v>1</v>
      </c>
      <c r="O283" s="14" t="s">
        <v>327</v>
      </c>
      <c r="P283" s="15">
        <v>21</v>
      </c>
      <c r="Q283" s="169" t="s">
        <v>411</v>
      </c>
      <c r="R283" s="16" t="s">
        <v>58</v>
      </c>
      <c r="S283" s="18" t="s">
        <v>75</v>
      </c>
      <c r="T283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283" s="19" t="s">
        <v>76</v>
      </c>
      <c r="V283" s="20" t="s">
        <v>7</v>
      </c>
      <c r="W283" s="20"/>
      <c r="X283" s="18"/>
      <c r="Y283" s="18">
        <f>IF(DataTable[[#This Row],[explanation1]]="BL",1,IF(DataTable[[#This Row],[explanation2]]="BL",1,IF(DataTable[[#This Row],[explanation1]]="BR",1,IF(DataTable[[#This Row],[explanation2]]="BR",1,0))))</f>
        <v>0</v>
      </c>
      <c r="Z283" s="18">
        <f>IF(DataTable[[#This Row],[explanation1]]="BL",1,IF(DataTable[[#This Row],[explanation2]]="BL",1,0))</f>
        <v>0</v>
      </c>
      <c r="AA283" s="18">
        <f>IF(DataTable[[#This Row],[explanation1]]="WJ",1,IF(DataTable[[#This Row],[explanation2]]="WJ",1,0))</f>
        <v>1</v>
      </c>
      <c r="AB283" s="18">
        <f>IF(DataTable[[#This Row],[explanation1]]="U",1,IF(DataTable[[#This Row],[explanation2]]="U",1,0))</f>
        <v>0</v>
      </c>
      <c r="AC283" s="18">
        <f>IF(DataTable[[#This Row],[explanation1]]="O",1,IF(DataTable[[#This Row],[explanation2]]="O",1,0))</f>
        <v>0</v>
      </c>
      <c r="AD283" s="18">
        <f>IF(DataTable[[#This Row],[explanation1]]="TP",1,IF(DataTable[[#This Row],[explanation2]]="TP",1,0))</f>
        <v>0</v>
      </c>
      <c r="AE283" s="18">
        <f>IF(DataTable[[#This Row],[explanation1]]="WP",1,IF(DataTable[[#This Row],[explanation2]]="WP",1,0))</f>
        <v>0</v>
      </c>
      <c r="AF283" s="18">
        <f>IF(DataTable[[#This Row],[explanation1]]="BR",1,IF(DataTable[[#This Row],[explanation2]]="BR",1,0))</f>
        <v>0</v>
      </c>
      <c r="AG283" s="18">
        <f>IF(DataTable[[#This Row],[explanation1]]="LS",1,IF(DataTable[[#This Row],[explanation2]]="LS",1,0))</f>
        <v>0</v>
      </c>
      <c r="AH283" s="30" t="s">
        <v>7</v>
      </c>
    </row>
    <row r="284" spans="1:34" x14ac:dyDescent="0.2">
      <c r="A284" s="22">
        <v>282</v>
      </c>
      <c r="B284" s="23" t="s">
        <v>68</v>
      </c>
      <c r="C284" s="24" t="s">
        <v>45</v>
      </c>
      <c r="D284" s="25">
        <v>1</v>
      </c>
      <c r="E284" s="23" t="s">
        <v>46</v>
      </c>
      <c r="F284" s="25">
        <v>19</v>
      </c>
      <c r="G284" s="23" t="s">
        <v>68</v>
      </c>
      <c r="H284" s="24" t="s">
        <v>81</v>
      </c>
      <c r="I284" s="25" t="str">
        <f t="shared" si="4"/>
        <v>R</v>
      </c>
      <c r="J284" s="23" t="s">
        <v>78</v>
      </c>
      <c r="K284" s="25" t="s">
        <v>50</v>
      </c>
      <c r="L284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84" s="24">
        <f>IF(DataTable[[#This Row],[3x head (H)/tail (T)?]]=DataTable[[#This Row],[then 4th: H/T/B/0]],1,0)</f>
        <v>0</v>
      </c>
      <c r="N284" s="24">
        <f>IF(DataTable[[#This Row],[then 4th: H/T/B/0]]="B",1,0)</f>
        <v>1</v>
      </c>
      <c r="O284" s="23" t="s">
        <v>331</v>
      </c>
      <c r="P284" s="24">
        <v>21</v>
      </c>
      <c r="Q284" s="168" t="s">
        <v>71</v>
      </c>
      <c r="R284" s="25" t="s">
        <v>58</v>
      </c>
      <c r="S284" s="27" t="s">
        <v>54</v>
      </c>
      <c r="T284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284" s="28" t="s">
        <v>116</v>
      </c>
      <c r="V284" s="29" t="s">
        <v>8</v>
      </c>
      <c r="W284" s="29"/>
      <c r="X284" s="27"/>
      <c r="Y284" s="27">
        <f>IF(DataTable[[#This Row],[explanation1]]="BL",1,IF(DataTable[[#This Row],[explanation2]]="BL",1,IF(DataTable[[#This Row],[explanation1]]="BR",1,IF(DataTable[[#This Row],[explanation2]]="BR",1,0))))</f>
        <v>0</v>
      </c>
      <c r="Z284" s="18">
        <f>IF(DataTable[[#This Row],[explanation1]]="BL",1,IF(DataTable[[#This Row],[explanation2]]="BL",1,0))</f>
        <v>0</v>
      </c>
      <c r="AA284" s="18">
        <f>IF(DataTable[[#This Row],[explanation1]]="WJ",1,IF(DataTable[[#This Row],[explanation2]]="WJ",1,0))</f>
        <v>0</v>
      </c>
      <c r="AB284" s="18">
        <f>IF(DataTable[[#This Row],[explanation1]]="U",1,IF(DataTable[[#This Row],[explanation2]]="U",1,0))</f>
        <v>1</v>
      </c>
      <c r="AC284" s="18">
        <f>IF(DataTable[[#This Row],[explanation1]]="O",1,IF(DataTable[[#This Row],[explanation2]]="O",1,0))</f>
        <v>0</v>
      </c>
      <c r="AD284" s="18">
        <f>IF(DataTable[[#This Row],[explanation1]]="TP",1,IF(DataTable[[#This Row],[explanation2]]="TP",1,0))</f>
        <v>0</v>
      </c>
      <c r="AE284" s="18">
        <f>IF(DataTable[[#This Row],[explanation1]]="WP",1,IF(DataTable[[#This Row],[explanation2]]="WP",1,0))</f>
        <v>0</v>
      </c>
      <c r="AF284" s="18">
        <f>IF(DataTable[[#This Row],[explanation1]]="BR",1,IF(DataTable[[#This Row],[explanation2]]="BR",1,0))</f>
        <v>0</v>
      </c>
      <c r="AG284" s="18">
        <f>IF(DataTable[[#This Row],[explanation1]]="LS",1,IF(DataTable[[#This Row],[explanation2]]="LS",1,0))</f>
        <v>0</v>
      </c>
      <c r="AH284" s="37" t="s">
        <v>8</v>
      </c>
    </row>
    <row r="285" spans="1:34" x14ac:dyDescent="0.2">
      <c r="A285" s="13">
        <v>283</v>
      </c>
      <c r="B285" s="14" t="s">
        <v>68</v>
      </c>
      <c r="C285" s="15" t="s">
        <v>45</v>
      </c>
      <c r="D285" s="16">
        <v>1</v>
      </c>
      <c r="E285" s="14" t="s">
        <v>46</v>
      </c>
      <c r="F285" s="16">
        <v>35</v>
      </c>
      <c r="G285" s="14" t="s">
        <v>68</v>
      </c>
      <c r="H285" s="15" t="s">
        <v>81</v>
      </c>
      <c r="I285" s="16" t="str">
        <f t="shared" si="4"/>
        <v>R</v>
      </c>
      <c r="J285" s="14" t="s">
        <v>49</v>
      </c>
      <c r="K285" s="16" t="s">
        <v>50</v>
      </c>
      <c r="L285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85" s="15">
        <f>IF(DataTable[[#This Row],[3x head (H)/tail (T)?]]=DataTable[[#This Row],[then 4th: H/T/B/0]],1,0)</f>
        <v>0</v>
      </c>
      <c r="N285" s="15">
        <f>IF(DataTable[[#This Row],[then 4th: H/T/B/0]]="B",1,0)</f>
        <v>1</v>
      </c>
      <c r="O285" s="14" t="s">
        <v>327</v>
      </c>
      <c r="P285" s="15">
        <v>21</v>
      </c>
      <c r="Q285" s="169" t="s">
        <v>411</v>
      </c>
      <c r="R285" s="16" t="s">
        <v>58</v>
      </c>
      <c r="S285" s="18" t="s">
        <v>75</v>
      </c>
      <c r="T285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285" s="19" t="s">
        <v>76</v>
      </c>
      <c r="V285" s="20" t="s">
        <v>9</v>
      </c>
      <c r="W285" s="20"/>
      <c r="X285" s="18"/>
      <c r="Y285" s="18">
        <f>IF(DataTable[[#This Row],[explanation1]]="BL",1,IF(DataTable[[#This Row],[explanation2]]="BL",1,IF(DataTable[[#This Row],[explanation1]]="BR",1,IF(DataTable[[#This Row],[explanation2]]="BR",1,0))))</f>
        <v>0</v>
      </c>
      <c r="Z285" s="18">
        <f>IF(DataTable[[#This Row],[explanation1]]="BL",1,IF(DataTable[[#This Row],[explanation2]]="BL",1,0))</f>
        <v>0</v>
      </c>
      <c r="AA285" s="18">
        <f>IF(DataTable[[#This Row],[explanation1]]="WJ",1,IF(DataTable[[#This Row],[explanation2]]="WJ",1,0))</f>
        <v>0</v>
      </c>
      <c r="AB285" s="18">
        <f>IF(DataTable[[#This Row],[explanation1]]="U",1,IF(DataTable[[#This Row],[explanation2]]="U",1,0))</f>
        <v>0</v>
      </c>
      <c r="AC285" s="18">
        <f>IF(DataTable[[#This Row],[explanation1]]="O",1,IF(DataTable[[#This Row],[explanation2]]="O",1,0))</f>
        <v>1</v>
      </c>
      <c r="AD285" s="18">
        <f>IF(DataTable[[#This Row],[explanation1]]="TP",1,IF(DataTable[[#This Row],[explanation2]]="TP",1,0))</f>
        <v>0</v>
      </c>
      <c r="AE285" s="18">
        <f>IF(DataTable[[#This Row],[explanation1]]="WP",1,IF(DataTable[[#This Row],[explanation2]]="WP",1,0))</f>
        <v>0</v>
      </c>
      <c r="AF285" s="18">
        <f>IF(DataTable[[#This Row],[explanation1]]="BR",1,IF(DataTable[[#This Row],[explanation2]]="BR",1,0))</f>
        <v>0</v>
      </c>
      <c r="AG285" s="18">
        <f>IF(DataTable[[#This Row],[explanation1]]="LS",1,IF(DataTable[[#This Row],[explanation2]]="LS",1,0))</f>
        <v>0</v>
      </c>
      <c r="AH285" s="30" t="s">
        <v>9</v>
      </c>
    </row>
    <row r="286" spans="1:34" x14ac:dyDescent="0.2">
      <c r="A286" s="22">
        <v>284</v>
      </c>
      <c r="B286" s="23" t="s">
        <v>68</v>
      </c>
      <c r="C286" s="24" t="s">
        <v>45</v>
      </c>
      <c r="D286" s="25">
        <v>1</v>
      </c>
      <c r="E286" s="23" t="s">
        <v>58</v>
      </c>
      <c r="F286" s="25">
        <v>18</v>
      </c>
      <c r="G286" s="23" t="s">
        <v>47</v>
      </c>
      <c r="H286" s="24" t="s">
        <v>48</v>
      </c>
      <c r="I286" s="25" t="str">
        <f t="shared" si="4"/>
        <v>R</v>
      </c>
      <c r="J286" s="23" t="s">
        <v>49</v>
      </c>
      <c r="K286" s="25" t="s">
        <v>78</v>
      </c>
      <c r="L286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286" s="24">
        <f>IF(DataTable[[#This Row],[3x head (H)/tail (T)?]]=DataTable[[#This Row],[then 4th: H/T/B/0]],1,0)</f>
        <v>0</v>
      </c>
      <c r="N286" s="24">
        <f>IF(DataTable[[#This Row],[then 4th: H/T/B/0]]="B",1,0)</f>
        <v>0</v>
      </c>
      <c r="O286" s="23" t="s">
        <v>331</v>
      </c>
      <c r="P286" s="24">
        <v>21</v>
      </c>
      <c r="Q286" s="168" t="s">
        <v>71</v>
      </c>
      <c r="R286" s="25" t="s">
        <v>58</v>
      </c>
      <c r="S286" s="27" t="s">
        <v>65</v>
      </c>
      <c r="T286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286" s="28" t="s">
        <v>338</v>
      </c>
      <c r="V286" s="29" t="s">
        <v>9</v>
      </c>
      <c r="W286" s="29"/>
      <c r="X286" s="27"/>
      <c r="Y286" s="27">
        <f>IF(DataTable[[#This Row],[explanation1]]="BL",1,IF(DataTable[[#This Row],[explanation2]]="BL",1,IF(DataTable[[#This Row],[explanation1]]="BR",1,IF(DataTable[[#This Row],[explanation2]]="BR",1,0))))</f>
        <v>0</v>
      </c>
      <c r="Z286" s="18">
        <f>IF(DataTable[[#This Row],[explanation1]]="BL",1,IF(DataTable[[#This Row],[explanation2]]="BL",1,0))</f>
        <v>0</v>
      </c>
      <c r="AA286" s="18">
        <f>IF(DataTable[[#This Row],[explanation1]]="WJ",1,IF(DataTable[[#This Row],[explanation2]]="WJ",1,0))</f>
        <v>0</v>
      </c>
      <c r="AB286" s="18">
        <f>IF(DataTable[[#This Row],[explanation1]]="U",1,IF(DataTable[[#This Row],[explanation2]]="U",1,0))</f>
        <v>0</v>
      </c>
      <c r="AC286" s="18">
        <f>IF(DataTable[[#This Row],[explanation1]]="O",1,IF(DataTable[[#This Row],[explanation2]]="O",1,0))</f>
        <v>1</v>
      </c>
      <c r="AD286" s="18">
        <f>IF(DataTable[[#This Row],[explanation1]]="TP",1,IF(DataTable[[#This Row],[explanation2]]="TP",1,0))</f>
        <v>0</v>
      </c>
      <c r="AE286" s="18">
        <f>IF(DataTable[[#This Row],[explanation1]]="WP",1,IF(DataTable[[#This Row],[explanation2]]="WP",1,0))</f>
        <v>0</v>
      </c>
      <c r="AF286" s="18">
        <f>IF(DataTable[[#This Row],[explanation1]]="BR",1,IF(DataTable[[#This Row],[explanation2]]="BR",1,0))</f>
        <v>0</v>
      </c>
      <c r="AG286" s="18">
        <f>IF(DataTable[[#This Row],[explanation1]]="LS",1,IF(DataTable[[#This Row],[explanation2]]="LS",1,0))</f>
        <v>0</v>
      </c>
      <c r="AH286" s="37" t="s">
        <v>9</v>
      </c>
    </row>
    <row r="287" spans="1:34" x14ac:dyDescent="0.2">
      <c r="A287" s="13">
        <v>285</v>
      </c>
      <c r="B287" s="14" t="s">
        <v>44</v>
      </c>
      <c r="C287" s="15" t="s">
        <v>74</v>
      </c>
      <c r="D287" s="16">
        <v>1</v>
      </c>
      <c r="E287" s="14" t="s">
        <v>58</v>
      </c>
      <c r="F287" s="16">
        <v>26</v>
      </c>
      <c r="G287" s="14" t="s">
        <v>47</v>
      </c>
      <c r="H287" s="15" t="s">
        <v>48</v>
      </c>
      <c r="I287" s="16" t="str">
        <f t="shared" si="4"/>
        <v>R</v>
      </c>
      <c r="J287" s="14" t="s">
        <v>78</v>
      </c>
      <c r="K287" s="16" t="s">
        <v>78</v>
      </c>
      <c r="L287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87" s="15">
        <f>IF(DataTable[[#This Row],[3x head (H)/tail (T)?]]=DataTable[[#This Row],[then 4th: H/T/B/0]],1,0)</f>
        <v>1</v>
      </c>
      <c r="N287" s="15">
        <f>IF(DataTable[[#This Row],[then 4th: H/T/B/0]]="B",1,0)</f>
        <v>0</v>
      </c>
      <c r="O287" s="14" t="s">
        <v>327</v>
      </c>
      <c r="P287" s="15">
        <v>14</v>
      </c>
      <c r="Q287" s="169" t="s">
        <v>118</v>
      </c>
      <c r="R287" s="16" t="s">
        <v>58</v>
      </c>
      <c r="S287" s="18" t="s">
        <v>61</v>
      </c>
      <c r="T287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4</v>
      </c>
      <c r="U287" s="19" t="s">
        <v>339</v>
      </c>
      <c r="V287" s="20" t="s">
        <v>6</v>
      </c>
      <c r="W287" s="20"/>
      <c r="X287" s="18"/>
      <c r="Y287" s="18">
        <f>IF(DataTable[[#This Row],[explanation1]]="BL",1,IF(DataTable[[#This Row],[explanation2]]="BL",1,IF(DataTable[[#This Row],[explanation1]]="BR",1,IF(DataTable[[#This Row],[explanation2]]="BR",1,0))))</f>
        <v>1</v>
      </c>
      <c r="Z287" s="18">
        <f>IF(DataTable[[#This Row],[explanation1]]="BL",1,IF(DataTable[[#This Row],[explanation2]]="BL",1,0))</f>
        <v>1</v>
      </c>
      <c r="AA287" s="18">
        <f>IF(DataTable[[#This Row],[explanation1]]="WJ",1,IF(DataTable[[#This Row],[explanation2]]="WJ",1,0))</f>
        <v>0</v>
      </c>
      <c r="AB287" s="18">
        <f>IF(DataTable[[#This Row],[explanation1]]="U",1,IF(DataTable[[#This Row],[explanation2]]="U",1,0))</f>
        <v>0</v>
      </c>
      <c r="AC287" s="18">
        <f>IF(DataTable[[#This Row],[explanation1]]="O",1,IF(DataTable[[#This Row],[explanation2]]="O",1,0))</f>
        <v>0</v>
      </c>
      <c r="AD287" s="18">
        <f>IF(DataTable[[#This Row],[explanation1]]="TP",1,IF(DataTable[[#This Row],[explanation2]]="TP",1,0))</f>
        <v>0</v>
      </c>
      <c r="AE287" s="18">
        <f>IF(DataTable[[#This Row],[explanation1]]="WP",1,IF(DataTable[[#This Row],[explanation2]]="WP",1,0))</f>
        <v>0</v>
      </c>
      <c r="AF287" s="18">
        <f>IF(DataTable[[#This Row],[explanation1]]="BR",1,IF(DataTable[[#This Row],[explanation2]]="BR",1,0))</f>
        <v>0</v>
      </c>
      <c r="AG287" s="18">
        <f>IF(DataTable[[#This Row],[explanation1]]="LS",1,IF(DataTable[[#This Row],[explanation2]]="LS",1,0))</f>
        <v>0</v>
      </c>
      <c r="AH287" s="30" t="s">
        <v>6</v>
      </c>
    </row>
    <row r="288" spans="1:34" x14ac:dyDescent="0.2">
      <c r="A288" s="22">
        <v>286</v>
      </c>
      <c r="B288" s="23" t="s">
        <v>44</v>
      </c>
      <c r="C288" s="24" t="s">
        <v>74</v>
      </c>
      <c r="D288" s="25">
        <v>1</v>
      </c>
      <c r="E288" s="23" t="s">
        <v>58</v>
      </c>
      <c r="F288" s="25">
        <v>24</v>
      </c>
      <c r="G288" s="23" t="s">
        <v>47</v>
      </c>
      <c r="H288" s="24" t="s">
        <v>48</v>
      </c>
      <c r="I288" s="25" t="str">
        <f t="shared" si="4"/>
        <v>R</v>
      </c>
      <c r="J288" s="23" t="s">
        <v>78</v>
      </c>
      <c r="K288" s="25" t="s">
        <v>49</v>
      </c>
      <c r="L288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288" s="24">
        <f>IF(DataTable[[#This Row],[3x head (H)/tail (T)?]]=DataTable[[#This Row],[then 4th: H/T/B/0]],1,0)</f>
        <v>0</v>
      </c>
      <c r="N288" s="24">
        <f>IF(DataTable[[#This Row],[then 4th: H/T/B/0]]="B",1,0)</f>
        <v>0</v>
      </c>
      <c r="O288" s="23" t="s">
        <v>327</v>
      </c>
      <c r="P288" s="24">
        <v>14</v>
      </c>
      <c r="Q288" s="168" t="s">
        <v>118</v>
      </c>
      <c r="R288" s="25" t="s">
        <v>58</v>
      </c>
      <c r="S288" s="27" t="s">
        <v>65</v>
      </c>
      <c r="T288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288" s="28" t="s">
        <v>329</v>
      </c>
      <c r="V288" s="20" t="s">
        <v>6</v>
      </c>
      <c r="W288" s="29"/>
      <c r="X288" s="27"/>
      <c r="Y288" s="27">
        <f>IF(DataTable[[#This Row],[explanation1]]="BL",1,IF(DataTable[[#This Row],[explanation2]]="BL",1,IF(DataTable[[#This Row],[explanation1]]="BR",1,IF(DataTable[[#This Row],[explanation2]]="BR",1,0))))</f>
        <v>1</v>
      </c>
      <c r="Z288" s="18">
        <f>IF(DataTable[[#This Row],[explanation1]]="BL",1,IF(DataTable[[#This Row],[explanation2]]="BL",1,0))</f>
        <v>1</v>
      </c>
      <c r="AA288" s="18">
        <f>IF(DataTable[[#This Row],[explanation1]]="WJ",1,IF(DataTable[[#This Row],[explanation2]]="WJ",1,0))</f>
        <v>0</v>
      </c>
      <c r="AB288" s="18">
        <f>IF(DataTable[[#This Row],[explanation1]]="U",1,IF(DataTable[[#This Row],[explanation2]]="U",1,0))</f>
        <v>0</v>
      </c>
      <c r="AC288" s="18">
        <f>IF(DataTable[[#This Row],[explanation1]]="O",1,IF(DataTable[[#This Row],[explanation2]]="O",1,0))</f>
        <v>0</v>
      </c>
      <c r="AD288" s="18">
        <f>IF(DataTable[[#This Row],[explanation1]]="TP",1,IF(DataTable[[#This Row],[explanation2]]="TP",1,0))</f>
        <v>0</v>
      </c>
      <c r="AE288" s="18">
        <f>IF(DataTable[[#This Row],[explanation1]]="WP",1,IF(DataTable[[#This Row],[explanation2]]="WP",1,0))</f>
        <v>0</v>
      </c>
      <c r="AF288" s="18">
        <f>IF(DataTable[[#This Row],[explanation1]]="BR",1,IF(DataTable[[#This Row],[explanation2]]="BR",1,0))</f>
        <v>0</v>
      </c>
      <c r="AG288" s="18">
        <f>IF(DataTable[[#This Row],[explanation1]]="LS",1,IF(DataTable[[#This Row],[explanation2]]="LS",1,0))</f>
        <v>0</v>
      </c>
      <c r="AH288" s="37" t="s">
        <v>6</v>
      </c>
    </row>
    <row r="289" spans="1:34" x14ac:dyDescent="0.2">
      <c r="A289" s="13">
        <v>287</v>
      </c>
      <c r="B289" s="14" t="s">
        <v>44</v>
      </c>
      <c r="C289" s="15" t="s">
        <v>74</v>
      </c>
      <c r="D289" s="16">
        <v>1</v>
      </c>
      <c r="E289" s="14" t="s">
        <v>58</v>
      </c>
      <c r="F289" s="16">
        <v>26</v>
      </c>
      <c r="G289" s="14" t="s">
        <v>47</v>
      </c>
      <c r="H289" s="15" t="s">
        <v>48</v>
      </c>
      <c r="I289" s="16" t="str">
        <f t="shared" si="4"/>
        <v>R</v>
      </c>
      <c r="J289" s="14" t="s">
        <v>78</v>
      </c>
      <c r="K289" s="16" t="s">
        <v>78</v>
      </c>
      <c r="L289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89" s="15">
        <f>IF(DataTable[[#This Row],[3x head (H)/tail (T)?]]=DataTable[[#This Row],[then 4th: H/T/B/0]],1,0)</f>
        <v>1</v>
      </c>
      <c r="N289" s="15">
        <f>IF(DataTable[[#This Row],[then 4th: H/T/B/0]]="B",1,0)</f>
        <v>0</v>
      </c>
      <c r="O289" s="14" t="s">
        <v>327</v>
      </c>
      <c r="P289" s="15">
        <v>21</v>
      </c>
      <c r="Q289" s="169" t="s">
        <v>118</v>
      </c>
      <c r="R289" s="16" t="s">
        <v>58</v>
      </c>
      <c r="S289" s="18" t="s">
        <v>75</v>
      </c>
      <c r="T289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289" s="19" t="s">
        <v>76</v>
      </c>
      <c r="V289" s="20" t="s">
        <v>6</v>
      </c>
      <c r="W289" s="20"/>
      <c r="X289" s="18"/>
      <c r="Y289" s="18">
        <f>IF(DataTable[[#This Row],[explanation1]]="BL",1,IF(DataTable[[#This Row],[explanation2]]="BL",1,IF(DataTable[[#This Row],[explanation1]]="BR",1,IF(DataTable[[#This Row],[explanation2]]="BR",1,0))))</f>
        <v>1</v>
      </c>
      <c r="Z289" s="18">
        <f>IF(DataTable[[#This Row],[explanation1]]="BL",1,IF(DataTable[[#This Row],[explanation2]]="BL",1,0))</f>
        <v>1</v>
      </c>
      <c r="AA289" s="18">
        <f>IF(DataTable[[#This Row],[explanation1]]="WJ",1,IF(DataTable[[#This Row],[explanation2]]="WJ",1,0))</f>
        <v>0</v>
      </c>
      <c r="AB289" s="18">
        <f>IF(DataTable[[#This Row],[explanation1]]="U",1,IF(DataTable[[#This Row],[explanation2]]="U",1,0))</f>
        <v>0</v>
      </c>
      <c r="AC289" s="18">
        <f>IF(DataTable[[#This Row],[explanation1]]="O",1,IF(DataTable[[#This Row],[explanation2]]="O",1,0))</f>
        <v>0</v>
      </c>
      <c r="AD289" s="18">
        <f>IF(DataTable[[#This Row],[explanation1]]="TP",1,IF(DataTable[[#This Row],[explanation2]]="TP",1,0))</f>
        <v>0</v>
      </c>
      <c r="AE289" s="18">
        <f>IF(DataTable[[#This Row],[explanation1]]="WP",1,IF(DataTable[[#This Row],[explanation2]]="WP",1,0))</f>
        <v>0</v>
      </c>
      <c r="AF289" s="18">
        <f>IF(DataTable[[#This Row],[explanation1]]="BR",1,IF(DataTable[[#This Row],[explanation2]]="BR",1,0))</f>
        <v>0</v>
      </c>
      <c r="AG289" s="18">
        <f>IF(DataTable[[#This Row],[explanation1]]="LS",1,IF(DataTable[[#This Row],[explanation2]]="LS",1,0))</f>
        <v>0</v>
      </c>
      <c r="AH289" s="30" t="s">
        <v>6</v>
      </c>
    </row>
    <row r="290" spans="1:34" x14ac:dyDescent="0.2">
      <c r="A290" s="22">
        <v>288</v>
      </c>
      <c r="B290" s="23" t="s">
        <v>44</v>
      </c>
      <c r="C290" s="24" t="s">
        <v>74</v>
      </c>
      <c r="D290" s="25">
        <v>1</v>
      </c>
      <c r="E290" s="23" t="s">
        <v>58</v>
      </c>
      <c r="F290" s="25">
        <v>21</v>
      </c>
      <c r="G290" s="23" t="s">
        <v>47</v>
      </c>
      <c r="H290" s="24" t="s">
        <v>48</v>
      </c>
      <c r="I290" s="25" t="str">
        <f t="shared" si="4"/>
        <v>R</v>
      </c>
      <c r="J290" s="23" t="s">
        <v>78</v>
      </c>
      <c r="K290" s="25" t="s">
        <v>49</v>
      </c>
      <c r="L290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290" s="24">
        <f>IF(DataTable[[#This Row],[3x head (H)/tail (T)?]]=DataTable[[#This Row],[then 4th: H/T/B/0]],1,0)</f>
        <v>0</v>
      </c>
      <c r="N290" s="24">
        <f>IF(DataTable[[#This Row],[then 4th: H/T/B/0]]="B",1,0)</f>
        <v>0</v>
      </c>
      <c r="O290" s="23" t="s">
        <v>327</v>
      </c>
      <c r="P290" s="24">
        <v>21</v>
      </c>
      <c r="Q290" s="168" t="s">
        <v>118</v>
      </c>
      <c r="R290" s="25" t="s">
        <v>58</v>
      </c>
      <c r="S290" s="27" t="s">
        <v>75</v>
      </c>
      <c r="T290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290" s="28" t="s">
        <v>328</v>
      </c>
      <c r="V290" s="20" t="s">
        <v>6</v>
      </c>
      <c r="W290" s="29"/>
      <c r="X290" s="27"/>
      <c r="Y290" s="27">
        <f>IF(DataTable[[#This Row],[explanation1]]="BL",1,IF(DataTable[[#This Row],[explanation2]]="BL",1,IF(DataTable[[#This Row],[explanation1]]="BR",1,IF(DataTable[[#This Row],[explanation2]]="BR",1,0))))</f>
        <v>1</v>
      </c>
      <c r="Z290" s="18">
        <f>IF(DataTable[[#This Row],[explanation1]]="BL",1,IF(DataTable[[#This Row],[explanation2]]="BL",1,0))</f>
        <v>1</v>
      </c>
      <c r="AA290" s="18">
        <f>IF(DataTable[[#This Row],[explanation1]]="WJ",1,IF(DataTable[[#This Row],[explanation2]]="WJ",1,0))</f>
        <v>0</v>
      </c>
      <c r="AB290" s="18">
        <f>IF(DataTable[[#This Row],[explanation1]]="U",1,IF(DataTable[[#This Row],[explanation2]]="U",1,0))</f>
        <v>0</v>
      </c>
      <c r="AC290" s="18">
        <f>IF(DataTable[[#This Row],[explanation1]]="O",1,IF(DataTable[[#This Row],[explanation2]]="O",1,0))</f>
        <v>0</v>
      </c>
      <c r="AD290" s="18">
        <f>IF(DataTable[[#This Row],[explanation1]]="TP",1,IF(DataTable[[#This Row],[explanation2]]="TP",1,0))</f>
        <v>0</v>
      </c>
      <c r="AE290" s="18">
        <f>IF(DataTable[[#This Row],[explanation1]]="WP",1,IF(DataTable[[#This Row],[explanation2]]="WP",1,0))</f>
        <v>0</v>
      </c>
      <c r="AF290" s="18">
        <f>IF(DataTable[[#This Row],[explanation1]]="BR",1,IF(DataTable[[#This Row],[explanation2]]="BR",1,0))</f>
        <v>0</v>
      </c>
      <c r="AG290" s="18">
        <f>IF(DataTable[[#This Row],[explanation1]]="LS",1,IF(DataTable[[#This Row],[explanation2]]="LS",1,0))</f>
        <v>0</v>
      </c>
      <c r="AH290" s="37" t="s">
        <v>6</v>
      </c>
    </row>
    <row r="291" spans="1:34" x14ac:dyDescent="0.2">
      <c r="A291" s="13">
        <v>289</v>
      </c>
      <c r="B291" s="14" t="s">
        <v>44</v>
      </c>
      <c r="C291" s="15" t="s">
        <v>74</v>
      </c>
      <c r="D291" s="16">
        <v>50</v>
      </c>
      <c r="E291" s="14" t="s">
        <v>46</v>
      </c>
      <c r="F291" s="16">
        <v>30</v>
      </c>
      <c r="G291" s="14" t="s">
        <v>44</v>
      </c>
      <c r="H291" s="15" t="s">
        <v>48</v>
      </c>
      <c r="I291" s="16" t="str">
        <f t="shared" si="4"/>
        <v>L1</v>
      </c>
      <c r="J291" s="14" t="s">
        <v>49</v>
      </c>
      <c r="K291" s="16" t="s">
        <v>78</v>
      </c>
      <c r="L291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291" s="15">
        <f>IF(DataTable[[#This Row],[3x head (H)/tail (T)?]]=DataTable[[#This Row],[then 4th: H/T/B/0]],1,0)</f>
        <v>0</v>
      </c>
      <c r="N291" s="15">
        <f>IF(DataTable[[#This Row],[then 4th: H/T/B/0]]="B",1,0)</f>
        <v>0</v>
      </c>
      <c r="O291" s="14" t="s">
        <v>335</v>
      </c>
      <c r="P291" s="15">
        <v>14</v>
      </c>
      <c r="Q291" s="169" t="s">
        <v>411</v>
      </c>
      <c r="R291" s="16" t="s">
        <v>58</v>
      </c>
      <c r="S291" s="18" t="s">
        <v>61</v>
      </c>
      <c r="T291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4</v>
      </c>
      <c r="U291" s="19" t="s">
        <v>173</v>
      </c>
      <c r="V291" s="20" t="s">
        <v>9</v>
      </c>
      <c r="W291" s="20"/>
      <c r="X291" s="18"/>
      <c r="Y291" s="18">
        <f>IF(DataTable[[#This Row],[explanation1]]="BL",1,IF(DataTable[[#This Row],[explanation2]]="BL",1,IF(DataTable[[#This Row],[explanation1]]="BR",1,IF(DataTable[[#This Row],[explanation2]]="BR",1,0))))</f>
        <v>0</v>
      </c>
      <c r="Z291" s="18">
        <f>IF(DataTable[[#This Row],[explanation1]]="BL",1,IF(DataTable[[#This Row],[explanation2]]="BL",1,0))</f>
        <v>0</v>
      </c>
      <c r="AA291" s="18">
        <f>IF(DataTable[[#This Row],[explanation1]]="WJ",1,IF(DataTable[[#This Row],[explanation2]]="WJ",1,0))</f>
        <v>0</v>
      </c>
      <c r="AB291" s="18">
        <f>IF(DataTable[[#This Row],[explanation1]]="U",1,IF(DataTable[[#This Row],[explanation2]]="U",1,0))</f>
        <v>0</v>
      </c>
      <c r="AC291" s="18">
        <f>IF(DataTable[[#This Row],[explanation1]]="O",1,IF(DataTable[[#This Row],[explanation2]]="O",1,0))</f>
        <v>1</v>
      </c>
      <c r="AD291" s="18">
        <f>IF(DataTable[[#This Row],[explanation1]]="TP",1,IF(DataTable[[#This Row],[explanation2]]="TP",1,0))</f>
        <v>0</v>
      </c>
      <c r="AE291" s="18">
        <f>IF(DataTable[[#This Row],[explanation1]]="WP",1,IF(DataTable[[#This Row],[explanation2]]="WP",1,0))</f>
        <v>0</v>
      </c>
      <c r="AF291" s="18">
        <f>IF(DataTable[[#This Row],[explanation1]]="BR",1,IF(DataTable[[#This Row],[explanation2]]="BR",1,0))</f>
        <v>0</v>
      </c>
      <c r="AG291" s="18">
        <f>IF(DataTable[[#This Row],[explanation1]]="LS",1,IF(DataTable[[#This Row],[explanation2]]="LS",1,0))</f>
        <v>0</v>
      </c>
      <c r="AH291" s="30" t="s">
        <v>9</v>
      </c>
    </row>
    <row r="292" spans="1:34" x14ac:dyDescent="0.2">
      <c r="A292" s="22">
        <v>290</v>
      </c>
      <c r="B292" s="23" t="s">
        <v>44</v>
      </c>
      <c r="C292" s="24" t="s">
        <v>74</v>
      </c>
      <c r="D292" s="25">
        <v>50</v>
      </c>
      <c r="E292" s="23" t="s">
        <v>46</v>
      </c>
      <c r="F292" s="25">
        <v>35</v>
      </c>
      <c r="G292" s="23" t="s">
        <v>44</v>
      </c>
      <c r="H292" s="24" t="s">
        <v>48</v>
      </c>
      <c r="I292" s="25" t="str">
        <f t="shared" si="4"/>
        <v>L1</v>
      </c>
      <c r="J292" s="23" t="s">
        <v>78</v>
      </c>
      <c r="K292" s="25" t="s">
        <v>50</v>
      </c>
      <c r="L292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92" s="24">
        <f>IF(DataTable[[#This Row],[3x head (H)/tail (T)?]]=DataTable[[#This Row],[then 4th: H/T/B/0]],1,0)</f>
        <v>0</v>
      </c>
      <c r="N292" s="24">
        <f>IF(DataTable[[#This Row],[then 4th: H/T/B/0]]="B",1,0)</f>
        <v>1</v>
      </c>
      <c r="O292" s="23" t="s">
        <v>327</v>
      </c>
      <c r="P292" s="24">
        <v>21</v>
      </c>
      <c r="Q292" s="168" t="s">
        <v>411</v>
      </c>
      <c r="R292" s="25" t="s">
        <v>58</v>
      </c>
      <c r="S292" s="27" t="s">
        <v>75</v>
      </c>
      <c r="T292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292" s="28" t="s">
        <v>76</v>
      </c>
      <c r="V292" s="29" t="s">
        <v>7</v>
      </c>
      <c r="W292" s="29"/>
      <c r="X292" s="27"/>
      <c r="Y292" s="27">
        <f>IF(DataTable[[#This Row],[explanation1]]="BL",1,IF(DataTable[[#This Row],[explanation2]]="BL",1,IF(DataTable[[#This Row],[explanation1]]="BR",1,IF(DataTable[[#This Row],[explanation2]]="BR",1,0))))</f>
        <v>0</v>
      </c>
      <c r="Z292" s="18">
        <f>IF(DataTable[[#This Row],[explanation1]]="BL",1,IF(DataTable[[#This Row],[explanation2]]="BL",1,0))</f>
        <v>0</v>
      </c>
      <c r="AA292" s="18">
        <f>IF(DataTable[[#This Row],[explanation1]]="WJ",1,IF(DataTable[[#This Row],[explanation2]]="WJ",1,0))</f>
        <v>1</v>
      </c>
      <c r="AB292" s="18">
        <f>IF(DataTable[[#This Row],[explanation1]]="U",1,IF(DataTable[[#This Row],[explanation2]]="U",1,0))</f>
        <v>0</v>
      </c>
      <c r="AC292" s="18">
        <f>IF(DataTable[[#This Row],[explanation1]]="O",1,IF(DataTable[[#This Row],[explanation2]]="O",1,0))</f>
        <v>0</v>
      </c>
      <c r="AD292" s="18">
        <f>IF(DataTable[[#This Row],[explanation1]]="TP",1,IF(DataTable[[#This Row],[explanation2]]="TP",1,0))</f>
        <v>0</v>
      </c>
      <c r="AE292" s="18">
        <f>IF(DataTable[[#This Row],[explanation1]]="WP",1,IF(DataTable[[#This Row],[explanation2]]="WP",1,0))</f>
        <v>0</v>
      </c>
      <c r="AF292" s="18">
        <f>IF(DataTable[[#This Row],[explanation1]]="BR",1,IF(DataTable[[#This Row],[explanation2]]="BR",1,0))</f>
        <v>0</v>
      </c>
      <c r="AG292" s="18">
        <f>IF(DataTable[[#This Row],[explanation1]]="LS",1,IF(DataTable[[#This Row],[explanation2]]="LS",1,0))</f>
        <v>0</v>
      </c>
      <c r="AH292" s="37" t="s">
        <v>7</v>
      </c>
    </row>
    <row r="293" spans="1:34" x14ac:dyDescent="0.2">
      <c r="A293" s="13">
        <v>291</v>
      </c>
      <c r="B293" s="14" t="s">
        <v>44</v>
      </c>
      <c r="C293" s="15" t="s">
        <v>74</v>
      </c>
      <c r="D293" s="16">
        <v>50</v>
      </c>
      <c r="E293" s="14" t="s">
        <v>58</v>
      </c>
      <c r="F293" s="16">
        <v>63</v>
      </c>
      <c r="G293" s="14" t="s">
        <v>44</v>
      </c>
      <c r="H293" s="15" t="s">
        <v>48</v>
      </c>
      <c r="I293" s="16" t="str">
        <f t="shared" si="4"/>
        <v>L1</v>
      </c>
      <c r="J293" s="14" t="s">
        <v>78</v>
      </c>
      <c r="K293" s="16" t="s">
        <v>49</v>
      </c>
      <c r="L293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293" s="15">
        <f>IF(DataTable[[#This Row],[3x head (H)/tail (T)?]]=DataTable[[#This Row],[then 4th: H/T/B/0]],1,0)</f>
        <v>0</v>
      </c>
      <c r="N293" s="15">
        <f>IF(DataTable[[#This Row],[then 4th: H/T/B/0]]="B",1,0)</f>
        <v>0</v>
      </c>
      <c r="O293" s="14" t="s">
        <v>327</v>
      </c>
      <c r="P293" s="15">
        <v>21</v>
      </c>
      <c r="Q293" s="169" t="s">
        <v>118</v>
      </c>
      <c r="R293" s="16" t="s">
        <v>58</v>
      </c>
      <c r="S293" s="18" t="s">
        <v>54</v>
      </c>
      <c r="T293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293" s="19" t="s">
        <v>116</v>
      </c>
      <c r="V293" s="20" t="s">
        <v>9</v>
      </c>
      <c r="W293" s="20"/>
      <c r="X293" s="18"/>
      <c r="Y293" s="18">
        <f>IF(DataTable[[#This Row],[explanation1]]="BL",1,IF(DataTable[[#This Row],[explanation2]]="BL",1,IF(DataTable[[#This Row],[explanation1]]="BR",1,IF(DataTable[[#This Row],[explanation2]]="BR",1,0))))</f>
        <v>0</v>
      </c>
      <c r="Z293" s="18">
        <f>IF(DataTable[[#This Row],[explanation1]]="BL",1,IF(DataTable[[#This Row],[explanation2]]="BL",1,0))</f>
        <v>0</v>
      </c>
      <c r="AA293" s="18">
        <f>IF(DataTable[[#This Row],[explanation1]]="WJ",1,IF(DataTable[[#This Row],[explanation2]]="WJ",1,0))</f>
        <v>0</v>
      </c>
      <c r="AB293" s="18">
        <f>IF(DataTable[[#This Row],[explanation1]]="U",1,IF(DataTable[[#This Row],[explanation2]]="U",1,0))</f>
        <v>0</v>
      </c>
      <c r="AC293" s="18">
        <f>IF(DataTable[[#This Row],[explanation1]]="O",1,IF(DataTable[[#This Row],[explanation2]]="O",1,0))</f>
        <v>1</v>
      </c>
      <c r="AD293" s="18">
        <f>IF(DataTable[[#This Row],[explanation1]]="TP",1,IF(DataTable[[#This Row],[explanation2]]="TP",1,0))</f>
        <v>0</v>
      </c>
      <c r="AE293" s="18">
        <f>IF(DataTable[[#This Row],[explanation1]]="WP",1,IF(DataTable[[#This Row],[explanation2]]="WP",1,0))</f>
        <v>0</v>
      </c>
      <c r="AF293" s="18">
        <f>IF(DataTable[[#This Row],[explanation1]]="BR",1,IF(DataTable[[#This Row],[explanation2]]="BR",1,0))</f>
        <v>0</v>
      </c>
      <c r="AG293" s="18">
        <f>IF(DataTable[[#This Row],[explanation1]]="LS",1,IF(DataTable[[#This Row],[explanation2]]="LS",1,0))</f>
        <v>0</v>
      </c>
      <c r="AH293" s="30" t="s">
        <v>9</v>
      </c>
    </row>
    <row r="294" spans="1:34" x14ac:dyDescent="0.2">
      <c r="A294" s="22">
        <v>292</v>
      </c>
      <c r="B294" s="23" t="s">
        <v>44</v>
      </c>
      <c r="C294" s="24" t="s">
        <v>74</v>
      </c>
      <c r="D294" s="25">
        <v>50</v>
      </c>
      <c r="E294" s="23" t="s">
        <v>58</v>
      </c>
      <c r="F294" s="25">
        <v>49</v>
      </c>
      <c r="G294" s="23" t="s">
        <v>47</v>
      </c>
      <c r="H294" s="24" t="s">
        <v>48</v>
      </c>
      <c r="I294" s="25" t="str">
        <f t="shared" si="4"/>
        <v>R</v>
      </c>
      <c r="J294" s="23" t="s">
        <v>49</v>
      </c>
      <c r="K294" s="25" t="s">
        <v>78</v>
      </c>
      <c r="L294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294" s="24">
        <f>IF(DataTable[[#This Row],[3x head (H)/tail (T)?]]=DataTable[[#This Row],[then 4th: H/T/B/0]],1,0)</f>
        <v>0</v>
      </c>
      <c r="N294" s="24">
        <f>IF(DataTable[[#This Row],[then 4th: H/T/B/0]]="B",1,0)</f>
        <v>0</v>
      </c>
      <c r="O294" s="23" t="s">
        <v>327</v>
      </c>
      <c r="P294" s="24">
        <v>21</v>
      </c>
      <c r="Q294" s="168" t="s">
        <v>118</v>
      </c>
      <c r="R294" s="25" t="s">
        <v>58</v>
      </c>
      <c r="S294" s="27" t="s">
        <v>103</v>
      </c>
      <c r="T294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5</v>
      </c>
      <c r="U294" s="28" t="s">
        <v>333</v>
      </c>
      <c r="V294" s="29" t="s">
        <v>6</v>
      </c>
      <c r="W294" s="29"/>
      <c r="X294" s="27"/>
      <c r="Y294" s="27">
        <f>IF(DataTable[[#This Row],[explanation1]]="BL",1,IF(DataTable[[#This Row],[explanation2]]="BL",1,IF(DataTable[[#This Row],[explanation1]]="BR",1,IF(DataTable[[#This Row],[explanation2]]="BR",1,0))))</f>
        <v>1</v>
      </c>
      <c r="Z294" s="18">
        <f>IF(DataTable[[#This Row],[explanation1]]="BL",1,IF(DataTable[[#This Row],[explanation2]]="BL",1,0))</f>
        <v>1</v>
      </c>
      <c r="AA294" s="18">
        <f>IF(DataTable[[#This Row],[explanation1]]="WJ",1,IF(DataTable[[#This Row],[explanation2]]="WJ",1,0))</f>
        <v>0</v>
      </c>
      <c r="AB294" s="18">
        <f>IF(DataTable[[#This Row],[explanation1]]="U",1,IF(DataTable[[#This Row],[explanation2]]="U",1,0))</f>
        <v>0</v>
      </c>
      <c r="AC294" s="18">
        <f>IF(DataTable[[#This Row],[explanation1]]="O",1,IF(DataTable[[#This Row],[explanation2]]="O",1,0))</f>
        <v>0</v>
      </c>
      <c r="AD294" s="18">
        <f>IF(DataTable[[#This Row],[explanation1]]="TP",1,IF(DataTable[[#This Row],[explanation2]]="TP",1,0))</f>
        <v>0</v>
      </c>
      <c r="AE294" s="18">
        <f>IF(DataTable[[#This Row],[explanation1]]="WP",1,IF(DataTable[[#This Row],[explanation2]]="WP",1,0))</f>
        <v>0</v>
      </c>
      <c r="AF294" s="18">
        <f>IF(DataTable[[#This Row],[explanation1]]="BR",1,IF(DataTable[[#This Row],[explanation2]]="BR",1,0))</f>
        <v>0</v>
      </c>
      <c r="AG294" s="18">
        <f>IF(DataTable[[#This Row],[explanation1]]="LS",1,IF(DataTable[[#This Row],[explanation2]]="LS",1,0))</f>
        <v>0</v>
      </c>
      <c r="AH294" s="37" t="s">
        <v>6</v>
      </c>
    </row>
    <row r="295" spans="1:34" x14ac:dyDescent="0.2">
      <c r="A295" s="13">
        <v>293</v>
      </c>
      <c r="B295" s="14" t="s">
        <v>44</v>
      </c>
      <c r="C295" s="15" t="s">
        <v>45</v>
      </c>
      <c r="D295" s="16">
        <v>1</v>
      </c>
      <c r="E295" s="14" t="s">
        <v>46</v>
      </c>
      <c r="F295" s="16">
        <v>26</v>
      </c>
      <c r="G295" s="14" t="s">
        <v>44</v>
      </c>
      <c r="H295" s="15" t="s">
        <v>48</v>
      </c>
      <c r="I295" s="16" t="str">
        <f t="shared" si="4"/>
        <v>L1</v>
      </c>
      <c r="J295" s="14" t="s">
        <v>78</v>
      </c>
      <c r="K295" s="16" t="s">
        <v>78</v>
      </c>
      <c r="L295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95" s="15">
        <f>IF(DataTable[[#This Row],[3x head (H)/tail (T)?]]=DataTable[[#This Row],[then 4th: H/T/B/0]],1,0)</f>
        <v>1</v>
      </c>
      <c r="N295" s="15">
        <f>IF(DataTable[[#This Row],[then 4th: H/T/B/0]]="B",1,0)</f>
        <v>0</v>
      </c>
      <c r="O295" s="14" t="s">
        <v>327</v>
      </c>
      <c r="P295" s="15">
        <v>14</v>
      </c>
      <c r="Q295" s="169" t="s">
        <v>118</v>
      </c>
      <c r="R295" s="16" t="s">
        <v>58</v>
      </c>
      <c r="S295" s="18" t="s">
        <v>75</v>
      </c>
      <c r="T295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295" s="19" t="s">
        <v>76</v>
      </c>
      <c r="V295" s="20" t="s">
        <v>8</v>
      </c>
      <c r="W295" s="20"/>
      <c r="X295" s="18"/>
      <c r="Y295" s="18">
        <f>IF(DataTable[[#This Row],[explanation1]]="BL",1,IF(DataTable[[#This Row],[explanation2]]="BL",1,IF(DataTable[[#This Row],[explanation1]]="BR",1,IF(DataTable[[#This Row],[explanation2]]="BR",1,0))))</f>
        <v>0</v>
      </c>
      <c r="Z295" s="18">
        <f>IF(DataTable[[#This Row],[explanation1]]="BL",1,IF(DataTable[[#This Row],[explanation2]]="BL",1,0))</f>
        <v>0</v>
      </c>
      <c r="AA295" s="18">
        <f>IF(DataTable[[#This Row],[explanation1]]="WJ",1,IF(DataTable[[#This Row],[explanation2]]="WJ",1,0))</f>
        <v>0</v>
      </c>
      <c r="AB295" s="18">
        <f>IF(DataTable[[#This Row],[explanation1]]="U",1,IF(DataTable[[#This Row],[explanation2]]="U",1,0))</f>
        <v>1</v>
      </c>
      <c r="AC295" s="18">
        <f>IF(DataTable[[#This Row],[explanation1]]="O",1,IF(DataTable[[#This Row],[explanation2]]="O",1,0))</f>
        <v>0</v>
      </c>
      <c r="AD295" s="18">
        <f>IF(DataTable[[#This Row],[explanation1]]="TP",1,IF(DataTable[[#This Row],[explanation2]]="TP",1,0))</f>
        <v>0</v>
      </c>
      <c r="AE295" s="18">
        <f>IF(DataTable[[#This Row],[explanation1]]="WP",1,IF(DataTable[[#This Row],[explanation2]]="WP",1,0))</f>
        <v>0</v>
      </c>
      <c r="AF295" s="18">
        <f>IF(DataTable[[#This Row],[explanation1]]="BR",1,IF(DataTable[[#This Row],[explanation2]]="BR",1,0))</f>
        <v>0</v>
      </c>
      <c r="AG295" s="18">
        <f>IF(DataTable[[#This Row],[explanation1]]="LS",1,IF(DataTable[[#This Row],[explanation2]]="LS",1,0))</f>
        <v>0</v>
      </c>
      <c r="AH295" s="30" t="s">
        <v>8</v>
      </c>
    </row>
    <row r="296" spans="1:34" x14ac:dyDescent="0.2">
      <c r="A296" s="22">
        <v>294</v>
      </c>
      <c r="B296" s="23" t="s">
        <v>44</v>
      </c>
      <c r="C296" s="24" t="s">
        <v>45</v>
      </c>
      <c r="D296" s="25">
        <v>1</v>
      </c>
      <c r="E296" s="23" t="s">
        <v>58</v>
      </c>
      <c r="F296" s="25">
        <v>35</v>
      </c>
      <c r="G296" s="23" t="s">
        <v>44</v>
      </c>
      <c r="H296" s="24" t="s">
        <v>48</v>
      </c>
      <c r="I296" s="25" t="str">
        <f t="shared" si="4"/>
        <v>L1</v>
      </c>
      <c r="J296" s="23" t="s">
        <v>78</v>
      </c>
      <c r="K296" s="25" t="s">
        <v>49</v>
      </c>
      <c r="L296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296" s="24">
        <f>IF(DataTable[[#This Row],[3x head (H)/tail (T)?]]=DataTable[[#This Row],[then 4th: H/T/B/0]],1,0)</f>
        <v>0</v>
      </c>
      <c r="N296" s="24">
        <f>IF(DataTable[[#This Row],[then 4th: H/T/B/0]]="B",1,0)</f>
        <v>0</v>
      </c>
      <c r="O296" s="23" t="s">
        <v>327</v>
      </c>
      <c r="P296" s="24">
        <v>14</v>
      </c>
      <c r="Q296" s="168" t="s">
        <v>118</v>
      </c>
      <c r="R296" s="25" t="s">
        <v>58</v>
      </c>
      <c r="S296" s="27" t="s">
        <v>54</v>
      </c>
      <c r="T296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296" s="28" t="s">
        <v>116</v>
      </c>
      <c r="V296" s="29" t="s">
        <v>13</v>
      </c>
      <c r="W296" s="29"/>
      <c r="X296" s="27"/>
      <c r="Y296" s="27">
        <f>IF(DataTable[[#This Row],[explanation1]]="BL",1,IF(DataTable[[#This Row],[explanation2]]="BL",1,IF(DataTable[[#This Row],[explanation1]]="BR",1,IF(DataTable[[#This Row],[explanation2]]="BR",1,0))))</f>
        <v>0</v>
      </c>
      <c r="Z296" s="18">
        <f>IF(DataTable[[#This Row],[explanation1]]="BL",1,IF(DataTable[[#This Row],[explanation2]]="BL",1,0))</f>
        <v>0</v>
      </c>
      <c r="AA296" s="18">
        <f>IF(DataTable[[#This Row],[explanation1]]="WJ",1,IF(DataTable[[#This Row],[explanation2]]="WJ",1,0))</f>
        <v>0</v>
      </c>
      <c r="AB296" s="18">
        <f>IF(DataTable[[#This Row],[explanation1]]="U",1,IF(DataTable[[#This Row],[explanation2]]="U",1,0))</f>
        <v>0</v>
      </c>
      <c r="AC296" s="18">
        <f>IF(DataTable[[#This Row],[explanation1]]="O",1,IF(DataTable[[#This Row],[explanation2]]="O",1,0))</f>
        <v>0</v>
      </c>
      <c r="AD296" s="18">
        <f>IF(DataTable[[#This Row],[explanation1]]="TP",1,IF(DataTable[[#This Row],[explanation2]]="TP",1,0))</f>
        <v>0</v>
      </c>
      <c r="AE296" s="18">
        <f>IF(DataTable[[#This Row],[explanation1]]="WP",1,IF(DataTable[[#This Row],[explanation2]]="WP",1,0))</f>
        <v>0</v>
      </c>
      <c r="AF296" s="18">
        <f>IF(DataTable[[#This Row],[explanation1]]="BR",1,IF(DataTable[[#This Row],[explanation2]]="BR",1,0))</f>
        <v>0</v>
      </c>
      <c r="AG296" s="18">
        <f>IF(DataTable[[#This Row],[explanation1]]="LS",1,IF(DataTable[[#This Row],[explanation2]]="LS",1,0))</f>
        <v>1</v>
      </c>
      <c r="AH296" s="37" t="s">
        <v>13</v>
      </c>
    </row>
    <row r="297" spans="1:34" x14ac:dyDescent="0.2">
      <c r="A297" s="13">
        <v>295</v>
      </c>
      <c r="B297" s="14" t="s">
        <v>44</v>
      </c>
      <c r="C297" s="15" t="s">
        <v>45</v>
      </c>
      <c r="D297" s="16">
        <v>1</v>
      </c>
      <c r="E297" s="14" t="s">
        <v>58</v>
      </c>
      <c r="F297" s="16">
        <v>18</v>
      </c>
      <c r="G297" s="14" t="s">
        <v>47</v>
      </c>
      <c r="H297" s="15" t="s">
        <v>48</v>
      </c>
      <c r="I297" s="16" t="str">
        <f t="shared" si="4"/>
        <v>R</v>
      </c>
      <c r="J297" s="14" t="s">
        <v>78</v>
      </c>
      <c r="K297" s="16" t="s">
        <v>49</v>
      </c>
      <c r="L297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297" s="15">
        <f>IF(DataTable[[#This Row],[3x head (H)/tail (T)?]]=DataTable[[#This Row],[then 4th: H/T/B/0]],1,0)</f>
        <v>0</v>
      </c>
      <c r="N297" s="15">
        <f>IF(DataTable[[#This Row],[then 4th: H/T/B/0]]="B",1,0)</f>
        <v>0</v>
      </c>
      <c r="O297" s="14" t="s">
        <v>331</v>
      </c>
      <c r="P297" s="15">
        <v>21</v>
      </c>
      <c r="Q297" s="169" t="s">
        <v>411</v>
      </c>
      <c r="R297" s="16" t="s">
        <v>58</v>
      </c>
      <c r="S297" s="18" t="s">
        <v>75</v>
      </c>
      <c r="T297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297" s="19" t="s">
        <v>76</v>
      </c>
      <c r="V297" s="20" t="s">
        <v>6</v>
      </c>
      <c r="W297" s="20"/>
      <c r="X297" s="18"/>
      <c r="Y297" s="18">
        <f>IF(DataTable[[#This Row],[explanation1]]="BL",1,IF(DataTable[[#This Row],[explanation2]]="BL",1,IF(DataTable[[#This Row],[explanation1]]="BR",1,IF(DataTable[[#This Row],[explanation2]]="BR",1,0))))</f>
        <v>1</v>
      </c>
      <c r="Z297" s="18">
        <f>IF(DataTable[[#This Row],[explanation1]]="BL",1,IF(DataTable[[#This Row],[explanation2]]="BL",1,0))</f>
        <v>1</v>
      </c>
      <c r="AA297" s="18">
        <f>IF(DataTable[[#This Row],[explanation1]]="WJ",1,IF(DataTable[[#This Row],[explanation2]]="WJ",1,0))</f>
        <v>0</v>
      </c>
      <c r="AB297" s="18">
        <f>IF(DataTable[[#This Row],[explanation1]]="U",1,IF(DataTable[[#This Row],[explanation2]]="U",1,0))</f>
        <v>0</v>
      </c>
      <c r="AC297" s="18">
        <f>IF(DataTable[[#This Row],[explanation1]]="O",1,IF(DataTable[[#This Row],[explanation2]]="O",1,0))</f>
        <v>0</v>
      </c>
      <c r="AD297" s="18">
        <f>IF(DataTable[[#This Row],[explanation1]]="TP",1,IF(DataTable[[#This Row],[explanation2]]="TP",1,0))</f>
        <v>0</v>
      </c>
      <c r="AE297" s="18">
        <f>IF(DataTable[[#This Row],[explanation1]]="WP",1,IF(DataTable[[#This Row],[explanation2]]="WP",1,0))</f>
        <v>0</v>
      </c>
      <c r="AF297" s="18">
        <f>IF(DataTable[[#This Row],[explanation1]]="BR",1,IF(DataTable[[#This Row],[explanation2]]="BR",1,0))</f>
        <v>0</v>
      </c>
      <c r="AG297" s="18">
        <f>IF(DataTable[[#This Row],[explanation1]]="LS",1,IF(DataTable[[#This Row],[explanation2]]="LS",1,0))</f>
        <v>0</v>
      </c>
      <c r="AH297" s="30" t="s">
        <v>6</v>
      </c>
    </row>
    <row r="298" spans="1:34" x14ac:dyDescent="0.2">
      <c r="A298" s="22">
        <v>296</v>
      </c>
      <c r="B298" s="23" t="s">
        <v>44</v>
      </c>
      <c r="C298" s="24" t="s">
        <v>45</v>
      </c>
      <c r="D298" s="25">
        <v>1</v>
      </c>
      <c r="E298" s="23" t="s">
        <v>58</v>
      </c>
      <c r="F298" s="25">
        <v>53</v>
      </c>
      <c r="G298" s="23" t="s">
        <v>47</v>
      </c>
      <c r="H298" s="24" t="s">
        <v>48</v>
      </c>
      <c r="I298" s="25" t="str">
        <f t="shared" si="4"/>
        <v>R</v>
      </c>
      <c r="J298" s="23" t="s">
        <v>78</v>
      </c>
      <c r="K298" s="25" t="s">
        <v>50</v>
      </c>
      <c r="L298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98" s="24">
        <f>IF(DataTable[[#This Row],[3x head (H)/tail (T)?]]=DataTable[[#This Row],[then 4th: H/T/B/0]],1,0)</f>
        <v>0</v>
      </c>
      <c r="N298" s="24">
        <f>IF(DataTable[[#This Row],[then 4th: H/T/B/0]]="B",1,0)</f>
        <v>1</v>
      </c>
      <c r="O298" s="23" t="s">
        <v>327</v>
      </c>
      <c r="P298" s="24">
        <v>21</v>
      </c>
      <c r="Q298" s="168" t="s">
        <v>118</v>
      </c>
      <c r="R298" s="25" t="s">
        <v>58</v>
      </c>
      <c r="S298" s="27" t="s">
        <v>54</v>
      </c>
      <c r="T298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298" s="28" t="s">
        <v>340</v>
      </c>
      <c r="V298" s="29" t="s">
        <v>7</v>
      </c>
      <c r="W298" s="29"/>
      <c r="X298" s="27"/>
      <c r="Y298" s="27">
        <f>IF(DataTable[[#This Row],[explanation1]]="BL",1,IF(DataTable[[#This Row],[explanation2]]="BL",1,IF(DataTable[[#This Row],[explanation1]]="BR",1,IF(DataTable[[#This Row],[explanation2]]="BR",1,0))))</f>
        <v>0</v>
      </c>
      <c r="Z298" s="18">
        <f>IF(DataTable[[#This Row],[explanation1]]="BL",1,IF(DataTable[[#This Row],[explanation2]]="BL",1,0))</f>
        <v>0</v>
      </c>
      <c r="AA298" s="18">
        <f>IF(DataTable[[#This Row],[explanation1]]="WJ",1,IF(DataTable[[#This Row],[explanation2]]="WJ",1,0))</f>
        <v>1</v>
      </c>
      <c r="AB298" s="18">
        <f>IF(DataTable[[#This Row],[explanation1]]="U",1,IF(DataTable[[#This Row],[explanation2]]="U",1,0))</f>
        <v>0</v>
      </c>
      <c r="AC298" s="18">
        <f>IF(DataTable[[#This Row],[explanation1]]="O",1,IF(DataTable[[#This Row],[explanation2]]="O",1,0))</f>
        <v>0</v>
      </c>
      <c r="AD298" s="18">
        <f>IF(DataTable[[#This Row],[explanation1]]="TP",1,IF(DataTable[[#This Row],[explanation2]]="TP",1,0))</f>
        <v>0</v>
      </c>
      <c r="AE298" s="18">
        <f>IF(DataTable[[#This Row],[explanation1]]="WP",1,IF(DataTable[[#This Row],[explanation2]]="WP",1,0))</f>
        <v>0</v>
      </c>
      <c r="AF298" s="18">
        <f>IF(DataTable[[#This Row],[explanation1]]="BR",1,IF(DataTable[[#This Row],[explanation2]]="BR",1,0))</f>
        <v>0</v>
      </c>
      <c r="AG298" s="18">
        <f>IF(DataTable[[#This Row],[explanation1]]="LS",1,IF(DataTable[[#This Row],[explanation2]]="LS",1,0))</f>
        <v>0</v>
      </c>
      <c r="AH298" s="37" t="s">
        <v>7</v>
      </c>
    </row>
    <row r="299" spans="1:34" x14ac:dyDescent="0.2">
      <c r="A299" s="13">
        <v>297</v>
      </c>
      <c r="B299" s="14" t="s">
        <v>44</v>
      </c>
      <c r="C299" s="15" t="s">
        <v>45</v>
      </c>
      <c r="D299" s="16">
        <v>1</v>
      </c>
      <c r="E299" s="14" t="s">
        <v>46</v>
      </c>
      <c r="F299" s="16">
        <v>65</v>
      </c>
      <c r="G299" s="14" t="s">
        <v>47</v>
      </c>
      <c r="H299" s="15" t="s">
        <v>48</v>
      </c>
      <c r="I299" s="16" t="str">
        <f t="shared" si="4"/>
        <v>R</v>
      </c>
      <c r="J299" s="14" t="s">
        <v>49</v>
      </c>
      <c r="K299" s="16" t="s">
        <v>49</v>
      </c>
      <c r="L299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299" s="15">
        <f>IF(DataTable[[#This Row],[3x head (H)/tail (T)?]]=DataTable[[#This Row],[then 4th: H/T/B/0]],1,0)</f>
        <v>1</v>
      </c>
      <c r="N299" s="15">
        <f>IF(DataTable[[#This Row],[then 4th: H/T/B/0]]="B",1,0)</f>
        <v>0</v>
      </c>
      <c r="O299" s="14" t="s">
        <v>327</v>
      </c>
      <c r="P299" s="15">
        <v>21</v>
      </c>
      <c r="Q299" s="169" t="s">
        <v>118</v>
      </c>
      <c r="R299" s="16" t="s">
        <v>58</v>
      </c>
      <c r="S299" s="18" t="s">
        <v>75</v>
      </c>
      <c r="T299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299" s="19" t="s">
        <v>76</v>
      </c>
      <c r="V299" s="20" t="s">
        <v>9</v>
      </c>
      <c r="W299" s="20"/>
      <c r="X299" s="18"/>
      <c r="Y299" s="18">
        <f>IF(DataTable[[#This Row],[explanation1]]="BL",1,IF(DataTable[[#This Row],[explanation2]]="BL",1,IF(DataTable[[#This Row],[explanation1]]="BR",1,IF(DataTable[[#This Row],[explanation2]]="BR",1,0))))</f>
        <v>0</v>
      </c>
      <c r="Z299" s="18">
        <f>IF(DataTable[[#This Row],[explanation1]]="BL",1,IF(DataTable[[#This Row],[explanation2]]="BL",1,0))</f>
        <v>0</v>
      </c>
      <c r="AA299" s="18">
        <f>IF(DataTable[[#This Row],[explanation1]]="WJ",1,IF(DataTable[[#This Row],[explanation2]]="WJ",1,0))</f>
        <v>0</v>
      </c>
      <c r="AB299" s="18">
        <f>IF(DataTable[[#This Row],[explanation1]]="U",1,IF(DataTable[[#This Row],[explanation2]]="U",1,0))</f>
        <v>0</v>
      </c>
      <c r="AC299" s="18">
        <f>IF(DataTable[[#This Row],[explanation1]]="O",1,IF(DataTable[[#This Row],[explanation2]]="O",1,0))</f>
        <v>1</v>
      </c>
      <c r="AD299" s="18">
        <f>IF(DataTable[[#This Row],[explanation1]]="TP",1,IF(DataTable[[#This Row],[explanation2]]="TP",1,0))</f>
        <v>0</v>
      </c>
      <c r="AE299" s="18">
        <f>IF(DataTable[[#This Row],[explanation1]]="WP",1,IF(DataTable[[#This Row],[explanation2]]="WP",1,0))</f>
        <v>0</v>
      </c>
      <c r="AF299" s="18">
        <f>IF(DataTable[[#This Row],[explanation1]]="BR",1,IF(DataTable[[#This Row],[explanation2]]="BR",1,0))</f>
        <v>0</v>
      </c>
      <c r="AG299" s="18">
        <f>IF(DataTable[[#This Row],[explanation1]]="LS",1,IF(DataTable[[#This Row],[explanation2]]="LS",1,0))</f>
        <v>0</v>
      </c>
      <c r="AH299" s="30" t="s">
        <v>9</v>
      </c>
    </row>
    <row r="300" spans="1:34" x14ac:dyDescent="0.2">
      <c r="A300" s="22">
        <v>298</v>
      </c>
      <c r="B300" s="23" t="s">
        <v>44</v>
      </c>
      <c r="C300" s="24" t="s">
        <v>45</v>
      </c>
      <c r="D300" s="25">
        <v>1</v>
      </c>
      <c r="E300" s="23" t="s">
        <v>58</v>
      </c>
      <c r="F300" s="25">
        <v>45</v>
      </c>
      <c r="G300" s="23" t="s">
        <v>47</v>
      </c>
      <c r="H300" s="24" t="s">
        <v>48</v>
      </c>
      <c r="I300" s="25" t="str">
        <f t="shared" si="4"/>
        <v>R</v>
      </c>
      <c r="J300" s="23" t="s">
        <v>49</v>
      </c>
      <c r="K300" s="25" t="s">
        <v>49</v>
      </c>
      <c r="L300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00" s="24">
        <f>IF(DataTable[[#This Row],[3x head (H)/tail (T)?]]=DataTable[[#This Row],[then 4th: H/T/B/0]],1,0)</f>
        <v>1</v>
      </c>
      <c r="N300" s="24">
        <f>IF(DataTable[[#This Row],[then 4th: H/T/B/0]]="B",1,0)</f>
        <v>0</v>
      </c>
      <c r="O300" s="23" t="s">
        <v>327</v>
      </c>
      <c r="P300" s="24">
        <v>21</v>
      </c>
      <c r="Q300" s="168" t="s">
        <v>118</v>
      </c>
      <c r="R300" s="25" t="s">
        <v>58</v>
      </c>
      <c r="S300" s="27" t="s">
        <v>65</v>
      </c>
      <c r="T300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300" s="28" t="s">
        <v>329</v>
      </c>
      <c r="V300" s="29" t="s">
        <v>9</v>
      </c>
      <c r="W300" s="29"/>
      <c r="X300" s="27"/>
      <c r="Y300" s="27">
        <f>IF(DataTable[[#This Row],[explanation1]]="BL",1,IF(DataTable[[#This Row],[explanation2]]="BL",1,IF(DataTable[[#This Row],[explanation1]]="BR",1,IF(DataTable[[#This Row],[explanation2]]="BR",1,0))))</f>
        <v>0</v>
      </c>
      <c r="Z300" s="18">
        <f>IF(DataTable[[#This Row],[explanation1]]="BL",1,IF(DataTable[[#This Row],[explanation2]]="BL",1,0))</f>
        <v>0</v>
      </c>
      <c r="AA300" s="18">
        <f>IF(DataTable[[#This Row],[explanation1]]="WJ",1,IF(DataTable[[#This Row],[explanation2]]="WJ",1,0))</f>
        <v>0</v>
      </c>
      <c r="AB300" s="18">
        <f>IF(DataTable[[#This Row],[explanation1]]="U",1,IF(DataTable[[#This Row],[explanation2]]="U",1,0))</f>
        <v>0</v>
      </c>
      <c r="AC300" s="18">
        <f>IF(DataTable[[#This Row],[explanation1]]="O",1,IF(DataTable[[#This Row],[explanation2]]="O",1,0))</f>
        <v>1</v>
      </c>
      <c r="AD300" s="18">
        <f>IF(DataTable[[#This Row],[explanation1]]="TP",1,IF(DataTable[[#This Row],[explanation2]]="TP",1,0))</f>
        <v>0</v>
      </c>
      <c r="AE300" s="18">
        <f>IF(DataTable[[#This Row],[explanation1]]="WP",1,IF(DataTable[[#This Row],[explanation2]]="WP",1,0))</f>
        <v>0</v>
      </c>
      <c r="AF300" s="18">
        <f>IF(DataTable[[#This Row],[explanation1]]="BR",1,IF(DataTable[[#This Row],[explanation2]]="BR",1,0))</f>
        <v>0</v>
      </c>
      <c r="AG300" s="18">
        <f>IF(DataTable[[#This Row],[explanation1]]="LS",1,IF(DataTable[[#This Row],[explanation2]]="LS",1,0))</f>
        <v>0</v>
      </c>
      <c r="AH300" s="37" t="s">
        <v>9</v>
      </c>
    </row>
    <row r="301" spans="1:34" x14ac:dyDescent="0.2">
      <c r="A301" s="13">
        <v>299</v>
      </c>
      <c r="B301" s="14" t="s">
        <v>44</v>
      </c>
      <c r="C301" s="15" t="s">
        <v>45</v>
      </c>
      <c r="D301" s="16">
        <v>50</v>
      </c>
      <c r="E301" s="14" t="s">
        <v>46</v>
      </c>
      <c r="F301" s="16">
        <v>19</v>
      </c>
      <c r="G301" s="14" t="s">
        <v>44</v>
      </c>
      <c r="H301" s="15" t="s">
        <v>81</v>
      </c>
      <c r="I301" s="16" t="str">
        <f t="shared" si="4"/>
        <v>R</v>
      </c>
      <c r="J301" s="14" t="s">
        <v>78</v>
      </c>
      <c r="K301" s="16" t="s">
        <v>78</v>
      </c>
      <c r="L301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01" s="15">
        <f>IF(DataTable[[#This Row],[3x head (H)/tail (T)?]]=DataTable[[#This Row],[then 4th: H/T/B/0]],1,0)</f>
        <v>1</v>
      </c>
      <c r="N301" s="15">
        <f>IF(DataTable[[#This Row],[then 4th: H/T/B/0]]="B",1,0)</f>
        <v>0</v>
      </c>
      <c r="O301" s="14" t="s">
        <v>331</v>
      </c>
      <c r="P301" s="15">
        <v>21</v>
      </c>
      <c r="Q301" s="169" t="s">
        <v>411</v>
      </c>
      <c r="R301" s="16" t="s">
        <v>58</v>
      </c>
      <c r="S301" s="18" t="s">
        <v>75</v>
      </c>
      <c r="T301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01" s="19" t="s">
        <v>76</v>
      </c>
      <c r="V301" s="20" t="s">
        <v>13</v>
      </c>
      <c r="W301" s="20"/>
      <c r="X301" s="18"/>
      <c r="Y301" s="18">
        <f>IF(DataTable[[#This Row],[explanation1]]="BL",1,IF(DataTable[[#This Row],[explanation2]]="BL",1,IF(DataTable[[#This Row],[explanation1]]="BR",1,IF(DataTable[[#This Row],[explanation2]]="BR",1,0))))</f>
        <v>0</v>
      </c>
      <c r="Z301" s="18">
        <f>IF(DataTable[[#This Row],[explanation1]]="BL",1,IF(DataTable[[#This Row],[explanation2]]="BL",1,0))</f>
        <v>0</v>
      </c>
      <c r="AA301" s="18">
        <f>IF(DataTable[[#This Row],[explanation1]]="WJ",1,IF(DataTable[[#This Row],[explanation2]]="WJ",1,0))</f>
        <v>0</v>
      </c>
      <c r="AB301" s="18">
        <f>IF(DataTable[[#This Row],[explanation1]]="U",1,IF(DataTable[[#This Row],[explanation2]]="U",1,0))</f>
        <v>0</v>
      </c>
      <c r="AC301" s="18">
        <f>IF(DataTable[[#This Row],[explanation1]]="O",1,IF(DataTable[[#This Row],[explanation2]]="O",1,0))</f>
        <v>0</v>
      </c>
      <c r="AD301" s="18">
        <f>IF(DataTable[[#This Row],[explanation1]]="TP",1,IF(DataTable[[#This Row],[explanation2]]="TP",1,0))</f>
        <v>0</v>
      </c>
      <c r="AE301" s="18">
        <f>IF(DataTable[[#This Row],[explanation1]]="WP",1,IF(DataTable[[#This Row],[explanation2]]="WP",1,0))</f>
        <v>0</v>
      </c>
      <c r="AF301" s="18">
        <f>IF(DataTable[[#This Row],[explanation1]]="BR",1,IF(DataTable[[#This Row],[explanation2]]="BR",1,0))</f>
        <v>0</v>
      </c>
      <c r="AG301" s="18">
        <f>IF(DataTable[[#This Row],[explanation1]]="LS",1,IF(DataTable[[#This Row],[explanation2]]="LS",1,0))</f>
        <v>1</v>
      </c>
      <c r="AH301" s="30" t="s">
        <v>341</v>
      </c>
    </row>
    <row r="302" spans="1:34" x14ac:dyDescent="0.2">
      <c r="A302" s="22">
        <v>300</v>
      </c>
      <c r="B302" s="23" t="s">
        <v>44</v>
      </c>
      <c r="C302" s="24" t="s">
        <v>45</v>
      </c>
      <c r="D302" s="25">
        <v>50</v>
      </c>
      <c r="E302" s="23" t="s">
        <v>58</v>
      </c>
      <c r="F302" s="25">
        <v>29</v>
      </c>
      <c r="G302" s="23" t="s">
        <v>44</v>
      </c>
      <c r="H302" s="24" t="s">
        <v>48</v>
      </c>
      <c r="I302" s="25" t="str">
        <f t="shared" si="4"/>
        <v>L1</v>
      </c>
      <c r="J302" s="23" t="s">
        <v>49</v>
      </c>
      <c r="K302" s="25" t="s">
        <v>78</v>
      </c>
      <c r="L302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302" s="24">
        <f>IF(DataTable[[#This Row],[3x head (H)/tail (T)?]]=DataTable[[#This Row],[then 4th: H/T/B/0]],1,0)</f>
        <v>0</v>
      </c>
      <c r="N302" s="24">
        <f>IF(DataTable[[#This Row],[then 4th: H/T/B/0]]="B",1,0)</f>
        <v>0</v>
      </c>
      <c r="O302" s="23" t="s">
        <v>331</v>
      </c>
      <c r="P302" s="24">
        <v>21</v>
      </c>
      <c r="Q302" s="168" t="s">
        <v>411</v>
      </c>
      <c r="R302" s="25" t="s">
        <v>58</v>
      </c>
      <c r="S302" s="27" t="s">
        <v>75</v>
      </c>
      <c r="T302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02" s="28" t="s">
        <v>76</v>
      </c>
      <c r="V302" s="29" t="s">
        <v>11</v>
      </c>
      <c r="W302" s="29"/>
      <c r="X302" s="27"/>
      <c r="Y302" s="27">
        <f>IF(DataTable[[#This Row],[explanation1]]="BL",1,IF(DataTable[[#This Row],[explanation2]]="BL",1,IF(DataTable[[#This Row],[explanation1]]="BR",1,IF(DataTable[[#This Row],[explanation2]]="BR",1,0))))</f>
        <v>0</v>
      </c>
      <c r="Z302" s="18">
        <f>IF(DataTable[[#This Row],[explanation1]]="BL",1,IF(DataTable[[#This Row],[explanation2]]="BL",1,0))</f>
        <v>0</v>
      </c>
      <c r="AA302" s="18">
        <f>IF(DataTable[[#This Row],[explanation1]]="WJ",1,IF(DataTable[[#This Row],[explanation2]]="WJ",1,0))</f>
        <v>0</v>
      </c>
      <c r="AB302" s="18">
        <f>IF(DataTable[[#This Row],[explanation1]]="U",1,IF(DataTable[[#This Row],[explanation2]]="U",1,0))</f>
        <v>0</v>
      </c>
      <c r="AC302" s="18">
        <f>IF(DataTable[[#This Row],[explanation1]]="O",1,IF(DataTable[[#This Row],[explanation2]]="O",1,0))</f>
        <v>0</v>
      </c>
      <c r="AD302" s="18">
        <f>IF(DataTable[[#This Row],[explanation1]]="TP",1,IF(DataTable[[#This Row],[explanation2]]="TP",1,0))</f>
        <v>0</v>
      </c>
      <c r="AE302" s="18">
        <f>IF(DataTable[[#This Row],[explanation1]]="WP",1,IF(DataTable[[#This Row],[explanation2]]="WP",1,0))</f>
        <v>1</v>
      </c>
      <c r="AF302" s="18">
        <f>IF(DataTable[[#This Row],[explanation1]]="BR",1,IF(DataTable[[#This Row],[explanation2]]="BR",1,0))</f>
        <v>0</v>
      </c>
      <c r="AG302" s="18">
        <f>IF(DataTable[[#This Row],[explanation1]]="LS",1,IF(DataTable[[#This Row],[explanation2]]="LS",1,0))</f>
        <v>0</v>
      </c>
      <c r="AH302" s="37" t="s">
        <v>11</v>
      </c>
    </row>
    <row r="303" spans="1:34" x14ac:dyDescent="0.2">
      <c r="A303" s="13">
        <v>301</v>
      </c>
      <c r="B303" s="14" t="s">
        <v>44</v>
      </c>
      <c r="C303" s="15" t="s">
        <v>45</v>
      </c>
      <c r="D303" s="16">
        <v>50</v>
      </c>
      <c r="E303" s="14" t="s">
        <v>46</v>
      </c>
      <c r="F303" s="16">
        <v>29</v>
      </c>
      <c r="G303" s="14" t="s">
        <v>44</v>
      </c>
      <c r="H303" s="15" t="s">
        <v>48</v>
      </c>
      <c r="I303" s="16" t="str">
        <f t="shared" si="4"/>
        <v>L1</v>
      </c>
      <c r="J303" s="14" t="s">
        <v>49</v>
      </c>
      <c r="K303" s="16" t="s">
        <v>49</v>
      </c>
      <c r="L303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03" s="15">
        <f>IF(DataTable[[#This Row],[3x head (H)/tail (T)?]]=DataTable[[#This Row],[then 4th: H/T/B/0]],1,0)</f>
        <v>1</v>
      </c>
      <c r="N303" s="15">
        <f>IF(DataTable[[#This Row],[then 4th: H/T/B/0]]="B",1,0)</f>
        <v>0</v>
      </c>
      <c r="O303" s="14" t="s">
        <v>331</v>
      </c>
      <c r="P303" s="15">
        <v>21</v>
      </c>
      <c r="Q303" s="169" t="s">
        <v>118</v>
      </c>
      <c r="R303" s="16" t="s">
        <v>58</v>
      </c>
      <c r="S303" s="18" t="s">
        <v>75</v>
      </c>
      <c r="T303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03" s="19" t="s">
        <v>76</v>
      </c>
      <c r="V303" s="20" t="s">
        <v>13</v>
      </c>
      <c r="W303" s="20"/>
      <c r="X303" s="18"/>
      <c r="Y303" s="18">
        <f>IF(DataTable[[#This Row],[explanation1]]="BL",1,IF(DataTable[[#This Row],[explanation2]]="BL",1,IF(DataTable[[#This Row],[explanation1]]="BR",1,IF(DataTable[[#This Row],[explanation2]]="BR",1,0))))</f>
        <v>0</v>
      </c>
      <c r="Z303" s="18">
        <f>IF(DataTable[[#This Row],[explanation1]]="BL",1,IF(DataTable[[#This Row],[explanation2]]="BL",1,0))</f>
        <v>0</v>
      </c>
      <c r="AA303" s="18">
        <f>IF(DataTable[[#This Row],[explanation1]]="WJ",1,IF(DataTable[[#This Row],[explanation2]]="WJ",1,0))</f>
        <v>0</v>
      </c>
      <c r="AB303" s="18">
        <f>IF(DataTable[[#This Row],[explanation1]]="U",1,IF(DataTable[[#This Row],[explanation2]]="U",1,0))</f>
        <v>0</v>
      </c>
      <c r="AC303" s="18">
        <f>IF(DataTable[[#This Row],[explanation1]]="O",1,IF(DataTable[[#This Row],[explanation2]]="O",1,0))</f>
        <v>0</v>
      </c>
      <c r="AD303" s="18">
        <f>IF(DataTable[[#This Row],[explanation1]]="TP",1,IF(DataTable[[#This Row],[explanation2]]="TP",1,0))</f>
        <v>0</v>
      </c>
      <c r="AE303" s="18">
        <f>IF(DataTable[[#This Row],[explanation1]]="WP",1,IF(DataTable[[#This Row],[explanation2]]="WP",1,0))</f>
        <v>0</v>
      </c>
      <c r="AF303" s="18">
        <f>IF(DataTable[[#This Row],[explanation1]]="BR",1,IF(DataTable[[#This Row],[explanation2]]="BR",1,0))</f>
        <v>0</v>
      </c>
      <c r="AG303" s="18">
        <f>IF(DataTable[[#This Row],[explanation1]]="LS",1,IF(DataTable[[#This Row],[explanation2]]="LS",1,0))</f>
        <v>1</v>
      </c>
      <c r="AH303" s="30" t="s">
        <v>13</v>
      </c>
    </row>
    <row r="304" spans="1:34" x14ac:dyDescent="0.2">
      <c r="A304" s="22">
        <v>302</v>
      </c>
      <c r="B304" s="23" t="s">
        <v>60</v>
      </c>
      <c r="C304" s="24" t="s">
        <v>74</v>
      </c>
      <c r="D304" s="25">
        <v>1</v>
      </c>
      <c r="E304" s="23" t="s">
        <v>58</v>
      </c>
      <c r="F304" s="25">
        <v>24</v>
      </c>
      <c r="G304" s="23" t="s">
        <v>47</v>
      </c>
      <c r="H304" s="24" t="s">
        <v>48</v>
      </c>
      <c r="I304" s="25" t="str">
        <f t="shared" si="4"/>
        <v>R</v>
      </c>
      <c r="J304" s="23" t="s">
        <v>49</v>
      </c>
      <c r="K304" s="25" t="s">
        <v>50</v>
      </c>
      <c r="L304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04" s="24">
        <f>IF(DataTable[[#This Row],[3x head (H)/tail (T)?]]=DataTable[[#This Row],[then 4th: H/T/B/0]],1,0)</f>
        <v>0</v>
      </c>
      <c r="N304" s="24">
        <f>IF(DataTable[[#This Row],[then 4th: H/T/B/0]]="B",1,0)</f>
        <v>1</v>
      </c>
      <c r="O304" s="23" t="s">
        <v>335</v>
      </c>
      <c r="P304" s="24">
        <v>14</v>
      </c>
      <c r="Q304" s="168" t="s">
        <v>118</v>
      </c>
      <c r="R304" s="25" t="s">
        <v>58</v>
      </c>
      <c r="S304" s="27" t="s">
        <v>75</v>
      </c>
      <c r="T304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04" s="28" t="s">
        <v>76</v>
      </c>
      <c r="V304" s="29" t="s">
        <v>7</v>
      </c>
      <c r="W304" s="29"/>
      <c r="X304" s="27"/>
      <c r="Y304" s="27">
        <f>IF(DataTable[[#This Row],[explanation1]]="BL",1,IF(DataTable[[#This Row],[explanation2]]="BL",1,IF(DataTable[[#This Row],[explanation1]]="BR",1,IF(DataTable[[#This Row],[explanation2]]="BR",1,0))))</f>
        <v>0</v>
      </c>
      <c r="Z304" s="18">
        <f>IF(DataTable[[#This Row],[explanation1]]="BL",1,IF(DataTable[[#This Row],[explanation2]]="BL",1,0))</f>
        <v>0</v>
      </c>
      <c r="AA304" s="18">
        <f>IF(DataTable[[#This Row],[explanation1]]="WJ",1,IF(DataTable[[#This Row],[explanation2]]="WJ",1,0))</f>
        <v>1</v>
      </c>
      <c r="AB304" s="18">
        <f>IF(DataTable[[#This Row],[explanation1]]="U",1,IF(DataTable[[#This Row],[explanation2]]="U",1,0))</f>
        <v>0</v>
      </c>
      <c r="AC304" s="18">
        <f>IF(DataTable[[#This Row],[explanation1]]="O",1,IF(DataTable[[#This Row],[explanation2]]="O",1,0))</f>
        <v>0</v>
      </c>
      <c r="AD304" s="18">
        <f>IF(DataTable[[#This Row],[explanation1]]="TP",1,IF(DataTable[[#This Row],[explanation2]]="TP",1,0))</f>
        <v>0</v>
      </c>
      <c r="AE304" s="18">
        <f>IF(DataTable[[#This Row],[explanation1]]="WP",1,IF(DataTable[[#This Row],[explanation2]]="WP",1,0))</f>
        <v>0</v>
      </c>
      <c r="AF304" s="18">
        <f>IF(DataTable[[#This Row],[explanation1]]="BR",1,IF(DataTable[[#This Row],[explanation2]]="BR",1,0))</f>
        <v>0</v>
      </c>
      <c r="AG304" s="18">
        <f>IF(DataTable[[#This Row],[explanation1]]="LS",1,IF(DataTable[[#This Row],[explanation2]]="LS",1,0))</f>
        <v>0</v>
      </c>
      <c r="AH304" s="37" t="s">
        <v>7</v>
      </c>
    </row>
    <row r="305" spans="1:34" x14ac:dyDescent="0.2">
      <c r="A305" s="13">
        <v>303</v>
      </c>
      <c r="B305" s="14" t="s">
        <v>60</v>
      </c>
      <c r="C305" s="15" t="s">
        <v>74</v>
      </c>
      <c r="D305" s="16">
        <v>1</v>
      </c>
      <c r="E305" s="14" t="s">
        <v>58</v>
      </c>
      <c r="F305" s="16">
        <v>28</v>
      </c>
      <c r="G305" s="14" t="s">
        <v>47</v>
      </c>
      <c r="H305" s="15" t="s">
        <v>48</v>
      </c>
      <c r="I305" s="16" t="str">
        <f t="shared" si="4"/>
        <v>R</v>
      </c>
      <c r="J305" s="14" t="s">
        <v>49</v>
      </c>
      <c r="K305" s="16" t="s">
        <v>78</v>
      </c>
      <c r="L305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305" s="15">
        <f>IF(DataTable[[#This Row],[3x head (H)/tail (T)?]]=DataTable[[#This Row],[then 4th: H/T/B/0]],1,0)</f>
        <v>0</v>
      </c>
      <c r="N305" s="15">
        <f>IF(DataTable[[#This Row],[then 4th: H/T/B/0]]="B",1,0)</f>
        <v>0</v>
      </c>
      <c r="O305" s="14" t="s">
        <v>335</v>
      </c>
      <c r="P305" s="15">
        <v>14</v>
      </c>
      <c r="Q305" s="169" t="s">
        <v>118</v>
      </c>
      <c r="R305" s="16" t="s">
        <v>58</v>
      </c>
      <c r="S305" s="18" t="s">
        <v>54</v>
      </c>
      <c r="T305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305" s="19" t="s">
        <v>342</v>
      </c>
      <c r="V305" s="20" t="s">
        <v>6</v>
      </c>
      <c r="W305" s="20"/>
      <c r="X305" s="18"/>
      <c r="Y305" s="18">
        <f>IF(DataTable[[#This Row],[explanation1]]="BL",1,IF(DataTable[[#This Row],[explanation2]]="BL",1,IF(DataTable[[#This Row],[explanation1]]="BR",1,IF(DataTable[[#This Row],[explanation2]]="BR",1,0))))</f>
        <v>1</v>
      </c>
      <c r="Z305" s="18">
        <f>IF(DataTable[[#This Row],[explanation1]]="BL",1,IF(DataTable[[#This Row],[explanation2]]="BL",1,0))</f>
        <v>1</v>
      </c>
      <c r="AA305" s="18">
        <f>IF(DataTable[[#This Row],[explanation1]]="WJ",1,IF(DataTable[[#This Row],[explanation2]]="WJ",1,0))</f>
        <v>0</v>
      </c>
      <c r="AB305" s="18">
        <f>IF(DataTable[[#This Row],[explanation1]]="U",1,IF(DataTable[[#This Row],[explanation2]]="U",1,0))</f>
        <v>0</v>
      </c>
      <c r="AC305" s="18">
        <f>IF(DataTable[[#This Row],[explanation1]]="O",1,IF(DataTable[[#This Row],[explanation2]]="O",1,0))</f>
        <v>0</v>
      </c>
      <c r="AD305" s="18">
        <f>IF(DataTable[[#This Row],[explanation1]]="TP",1,IF(DataTable[[#This Row],[explanation2]]="TP",1,0))</f>
        <v>0</v>
      </c>
      <c r="AE305" s="18">
        <f>IF(DataTable[[#This Row],[explanation1]]="WP",1,IF(DataTable[[#This Row],[explanation2]]="WP",1,0))</f>
        <v>0</v>
      </c>
      <c r="AF305" s="18">
        <f>IF(DataTable[[#This Row],[explanation1]]="BR",1,IF(DataTable[[#This Row],[explanation2]]="BR",1,0))</f>
        <v>0</v>
      </c>
      <c r="AG305" s="18">
        <f>IF(DataTable[[#This Row],[explanation1]]="LS",1,IF(DataTable[[#This Row],[explanation2]]="LS",1,0))</f>
        <v>0</v>
      </c>
      <c r="AH305" s="30" t="s">
        <v>6</v>
      </c>
    </row>
    <row r="306" spans="1:34" x14ac:dyDescent="0.2">
      <c r="A306" s="22">
        <v>304</v>
      </c>
      <c r="B306" s="23" t="s">
        <v>60</v>
      </c>
      <c r="C306" s="24" t="s">
        <v>74</v>
      </c>
      <c r="D306" s="25">
        <v>1</v>
      </c>
      <c r="E306" s="23" t="s">
        <v>58</v>
      </c>
      <c r="F306" s="25">
        <v>34</v>
      </c>
      <c r="G306" s="23" t="s">
        <v>47</v>
      </c>
      <c r="H306" s="24" t="s">
        <v>48</v>
      </c>
      <c r="I306" s="25" t="str">
        <f t="shared" si="4"/>
        <v>R</v>
      </c>
      <c r="J306" s="23" t="s">
        <v>49</v>
      </c>
      <c r="K306" s="25">
        <v>0</v>
      </c>
      <c r="L306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06" s="24">
        <f>IF(DataTable[[#This Row],[3x head (H)/tail (T)?]]=DataTable[[#This Row],[then 4th: H/T/B/0]],1,0)</f>
        <v>0</v>
      </c>
      <c r="N306" s="24">
        <f>IF(DataTable[[#This Row],[then 4th: H/T/B/0]]="B",1,0)</f>
        <v>0</v>
      </c>
      <c r="O306" s="23" t="s">
        <v>335</v>
      </c>
      <c r="P306" s="24">
        <v>14</v>
      </c>
      <c r="Q306" s="168" t="s">
        <v>118</v>
      </c>
      <c r="R306" s="25" t="s">
        <v>58</v>
      </c>
      <c r="S306" s="27" t="s">
        <v>75</v>
      </c>
      <c r="T306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06" s="28" t="s">
        <v>76</v>
      </c>
      <c r="V306" s="29" t="s">
        <v>6</v>
      </c>
      <c r="W306" s="29"/>
      <c r="X306" s="27"/>
      <c r="Y306" s="27">
        <f>IF(DataTable[[#This Row],[explanation1]]="BL",1,IF(DataTable[[#This Row],[explanation2]]="BL",1,IF(DataTable[[#This Row],[explanation1]]="BR",1,IF(DataTable[[#This Row],[explanation2]]="BR",1,0))))</f>
        <v>1</v>
      </c>
      <c r="Z306" s="18">
        <f>IF(DataTable[[#This Row],[explanation1]]="BL",1,IF(DataTable[[#This Row],[explanation2]]="BL",1,0))</f>
        <v>1</v>
      </c>
      <c r="AA306" s="18">
        <f>IF(DataTable[[#This Row],[explanation1]]="WJ",1,IF(DataTable[[#This Row],[explanation2]]="WJ",1,0))</f>
        <v>0</v>
      </c>
      <c r="AB306" s="18">
        <f>IF(DataTable[[#This Row],[explanation1]]="U",1,IF(DataTable[[#This Row],[explanation2]]="U",1,0))</f>
        <v>0</v>
      </c>
      <c r="AC306" s="18">
        <f>IF(DataTable[[#This Row],[explanation1]]="O",1,IF(DataTable[[#This Row],[explanation2]]="O",1,0))</f>
        <v>0</v>
      </c>
      <c r="AD306" s="18">
        <f>IF(DataTable[[#This Row],[explanation1]]="TP",1,IF(DataTable[[#This Row],[explanation2]]="TP",1,0))</f>
        <v>0</v>
      </c>
      <c r="AE306" s="18">
        <f>IF(DataTable[[#This Row],[explanation1]]="WP",1,IF(DataTable[[#This Row],[explanation2]]="WP",1,0))</f>
        <v>0</v>
      </c>
      <c r="AF306" s="18">
        <f>IF(DataTable[[#This Row],[explanation1]]="BR",1,IF(DataTable[[#This Row],[explanation2]]="BR",1,0))</f>
        <v>0</v>
      </c>
      <c r="AG306" s="18">
        <f>IF(DataTable[[#This Row],[explanation1]]="LS",1,IF(DataTable[[#This Row],[explanation2]]="LS",1,0))</f>
        <v>0</v>
      </c>
      <c r="AH306" s="37" t="s">
        <v>6</v>
      </c>
    </row>
    <row r="307" spans="1:34" x14ac:dyDescent="0.2">
      <c r="A307" s="13">
        <v>305</v>
      </c>
      <c r="B307" s="14" t="s">
        <v>60</v>
      </c>
      <c r="C307" s="15" t="s">
        <v>74</v>
      </c>
      <c r="D307" s="16">
        <v>1</v>
      </c>
      <c r="E307" s="14" t="s">
        <v>58</v>
      </c>
      <c r="F307" s="16">
        <v>72</v>
      </c>
      <c r="G307" s="14" t="s">
        <v>47</v>
      </c>
      <c r="H307" s="15" t="s">
        <v>48</v>
      </c>
      <c r="I307" s="16" t="str">
        <f t="shared" si="4"/>
        <v>R</v>
      </c>
      <c r="J307" s="14" t="s">
        <v>78</v>
      </c>
      <c r="K307" s="16" t="s">
        <v>49</v>
      </c>
      <c r="L307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307" s="15">
        <f>IF(DataTable[[#This Row],[3x head (H)/tail (T)?]]=DataTable[[#This Row],[then 4th: H/T/B/0]],1,0)</f>
        <v>0</v>
      </c>
      <c r="N307" s="15">
        <f>IF(DataTable[[#This Row],[then 4th: H/T/B/0]]="B",1,0)</f>
        <v>0</v>
      </c>
      <c r="O307" s="14" t="s">
        <v>327</v>
      </c>
      <c r="P307" s="15">
        <v>21</v>
      </c>
      <c r="Q307" s="169" t="s">
        <v>118</v>
      </c>
      <c r="R307" s="16" t="s">
        <v>58</v>
      </c>
      <c r="S307" s="18" t="s">
        <v>75</v>
      </c>
      <c r="T307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07" s="19" t="s">
        <v>76</v>
      </c>
      <c r="V307" s="20" t="s">
        <v>9</v>
      </c>
      <c r="W307" s="20"/>
      <c r="X307" s="18"/>
      <c r="Y307" s="18">
        <f>IF(DataTable[[#This Row],[explanation1]]="BL",1,IF(DataTable[[#This Row],[explanation2]]="BL",1,IF(DataTable[[#This Row],[explanation1]]="BR",1,IF(DataTable[[#This Row],[explanation2]]="BR",1,0))))</f>
        <v>0</v>
      </c>
      <c r="Z307" s="18">
        <f>IF(DataTable[[#This Row],[explanation1]]="BL",1,IF(DataTable[[#This Row],[explanation2]]="BL",1,0))</f>
        <v>0</v>
      </c>
      <c r="AA307" s="18">
        <f>IF(DataTable[[#This Row],[explanation1]]="WJ",1,IF(DataTable[[#This Row],[explanation2]]="WJ",1,0))</f>
        <v>0</v>
      </c>
      <c r="AB307" s="18">
        <f>IF(DataTable[[#This Row],[explanation1]]="U",1,IF(DataTable[[#This Row],[explanation2]]="U",1,0))</f>
        <v>0</v>
      </c>
      <c r="AC307" s="18">
        <f>IF(DataTable[[#This Row],[explanation1]]="O",1,IF(DataTable[[#This Row],[explanation2]]="O",1,0))</f>
        <v>1</v>
      </c>
      <c r="AD307" s="18">
        <f>IF(DataTable[[#This Row],[explanation1]]="TP",1,IF(DataTable[[#This Row],[explanation2]]="TP",1,0))</f>
        <v>0</v>
      </c>
      <c r="AE307" s="18">
        <f>IF(DataTable[[#This Row],[explanation1]]="WP",1,IF(DataTable[[#This Row],[explanation2]]="WP",1,0))</f>
        <v>0</v>
      </c>
      <c r="AF307" s="18">
        <f>IF(DataTable[[#This Row],[explanation1]]="BR",1,IF(DataTable[[#This Row],[explanation2]]="BR",1,0))</f>
        <v>0</v>
      </c>
      <c r="AG307" s="18">
        <f>IF(DataTable[[#This Row],[explanation1]]="LS",1,IF(DataTable[[#This Row],[explanation2]]="LS",1,0))</f>
        <v>0</v>
      </c>
      <c r="AH307" s="30" t="s">
        <v>9</v>
      </c>
    </row>
    <row r="308" spans="1:34" x14ac:dyDescent="0.2">
      <c r="A308" s="22">
        <v>306</v>
      </c>
      <c r="B308" s="23" t="s">
        <v>60</v>
      </c>
      <c r="C308" s="24" t="s">
        <v>74</v>
      </c>
      <c r="D308" s="25">
        <v>1</v>
      </c>
      <c r="E308" s="23" t="s">
        <v>58</v>
      </c>
      <c r="F308" s="25">
        <v>21</v>
      </c>
      <c r="G308" s="23" t="s">
        <v>60</v>
      </c>
      <c r="H308" s="24" t="s">
        <v>48</v>
      </c>
      <c r="I308" s="25" t="str">
        <f t="shared" si="4"/>
        <v>L5</v>
      </c>
      <c r="J308" s="23" t="s">
        <v>78</v>
      </c>
      <c r="K308" s="25" t="s">
        <v>78</v>
      </c>
      <c r="L308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08" s="24">
        <f>IF(DataTable[[#This Row],[3x head (H)/tail (T)?]]=DataTable[[#This Row],[then 4th: H/T/B/0]],1,0)</f>
        <v>1</v>
      </c>
      <c r="N308" s="24">
        <f>IF(DataTable[[#This Row],[then 4th: H/T/B/0]]="B",1,0)</f>
        <v>0</v>
      </c>
      <c r="O308" s="23" t="s">
        <v>327</v>
      </c>
      <c r="P308" s="24">
        <v>21</v>
      </c>
      <c r="Q308" s="168" t="s">
        <v>118</v>
      </c>
      <c r="R308" s="25" t="s">
        <v>58</v>
      </c>
      <c r="S308" s="27" t="s">
        <v>75</v>
      </c>
      <c r="T308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08" s="28" t="s">
        <v>76</v>
      </c>
      <c r="V308" s="29" t="s">
        <v>7</v>
      </c>
      <c r="W308" s="29"/>
      <c r="X308" s="27"/>
      <c r="Y308" s="27">
        <f>IF(DataTable[[#This Row],[explanation1]]="BL",1,IF(DataTable[[#This Row],[explanation2]]="BL",1,IF(DataTable[[#This Row],[explanation1]]="BR",1,IF(DataTable[[#This Row],[explanation2]]="BR",1,0))))</f>
        <v>0</v>
      </c>
      <c r="Z308" s="18">
        <f>IF(DataTable[[#This Row],[explanation1]]="BL",1,IF(DataTable[[#This Row],[explanation2]]="BL",1,0))</f>
        <v>0</v>
      </c>
      <c r="AA308" s="18">
        <f>IF(DataTable[[#This Row],[explanation1]]="WJ",1,IF(DataTable[[#This Row],[explanation2]]="WJ",1,0))</f>
        <v>1</v>
      </c>
      <c r="AB308" s="18">
        <f>IF(DataTable[[#This Row],[explanation1]]="U",1,IF(DataTable[[#This Row],[explanation2]]="U",1,0))</f>
        <v>0</v>
      </c>
      <c r="AC308" s="18">
        <f>IF(DataTable[[#This Row],[explanation1]]="O",1,IF(DataTable[[#This Row],[explanation2]]="O",1,0))</f>
        <v>0</v>
      </c>
      <c r="AD308" s="18">
        <f>IF(DataTable[[#This Row],[explanation1]]="TP",1,IF(DataTable[[#This Row],[explanation2]]="TP",1,0))</f>
        <v>0</v>
      </c>
      <c r="AE308" s="18">
        <f>IF(DataTable[[#This Row],[explanation1]]="WP",1,IF(DataTable[[#This Row],[explanation2]]="WP",1,0))</f>
        <v>0</v>
      </c>
      <c r="AF308" s="18">
        <f>IF(DataTable[[#This Row],[explanation1]]="BR",1,IF(DataTable[[#This Row],[explanation2]]="BR",1,0))</f>
        <v>0</v>
      </c>
      <c r="AG308" s="18">
        <f>IF(DataTable[[#This Row],[explanation1]]="LS",1,IF(DataTable[[#This Row],[explanation2]]="LS",1,0))</f>
        <v>0</v>
      </c>
      <c r="AH308" s="37" t="s">
        <v>7</v>
      </c>
    </row>
    <row r="309" spans="1:34" x14ac:dyDescent="0.2">
      <c r="A309" s="13">
        <v>307</v>
      </c>
      <c r="B309" s="14" t="s">
        <v>60</v>
      </c>
      <c r="C309" s="15" t="s">
        <v>74</v>
      </c>
      <c r="D309" s="16">
        <v>50</v>
      </c>
      <c r="E309" s="14" t="s">
        <v>46</v>
      </c>
      <c r="F309" s="16">
        <v>19</v>
      </c>
      <c r="G309" s="14" t="s">
        <v>47</v>
      </c>
      <c r="H309" s="15" t="s">
        <v>48</v>
      </c>
      <c r="I309" s="16" t="str">
        <f t="shared" si="4"/>
        <v>R</v>
      </c>
      <c r="J309" s="14" t="s">
        <v>78</v>
      </c>
      <c r="K309" s="16" t="s">
        <v>50</v>
      </c>
      <c r="L309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09" s="15">
        <f>IF(DataTable[[#This Row],[3x head (H)/tail (T)?]]=DataTable[[#This Row],[then 4th: H/T/B/0]],1,0)</f>
        <v>0</v>
      </c>
      <c r="N309" s="15">
        <f>IF(DataTable[[#This Row],[then 4th: H/T/B/0]]="B",1,0)</f>
        <v>1</v>
      </c>
      <c r="O309" s="14" t="s">
        <v>327</v>
      </c>
      <c r="P309" s="15">
        <v>14</v>
      </c>
      <c r="Q309" s="169" t="s">
        <v>71</v>
      </c>
      <c r="R309" s="16" t="s">
        <v>58</v>
      </c>
      <c r="S309" s="18" t="s">
        <v>75</v>
      </c>
      <c r="T309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09" s="19" t="s">
        <v>76</v>
      </c>
      <c r="V309" s="20" t="s">
        <v>6</v>
      </c>
      <c r="W309" s="20"/>
      <c r="X309" s="18"/>
      <c r="Y309" s="18">
        <f>IF(DataTable[[#This Row],[explanation1]]="BL",1,IF(DataTable[[#This Row],[explanation2]]="BL",1,IF(DataTable[[#This Row],[explanation1]]="BR",1,IF(DataTable[[#This Row],[explanation2]]="BR",1,0))))</f>
        <v>1</v>
      </c>
      <c r="Z309" s="18">
        <f>IF(DataTable[[#This Row],[explanation1]]="BL",1,IF(DataTable[[#This Row],[explanation2]]="BL",1,0))</f>
        <v>1</v>
      </c>
      <c r="AA309" s="18">
        <f>IF(DataTable[[#This Row],[explanation1]]="WJ",1,IF(DataTable[[#This Row],[explanation2]]="WJ",1,0))</f>
        <v>0</v>
      </c>
      <c r="AB309" s="18">
        <f>IF(DataTable[[#This Row],[explanation1]]="U",1,IF(DataTable[[#This Row],[explanation2]]="U",1,0))</f>
        <v>0</v>
      </c>
      <c r="AC309" s="18">
        <f>IF(DataTable[[#This Row],[explanation1]]="O",1,IF(DataTable[[#This Row],[explanation2]]="O",1,0))</f>
        <v>0</v>
      </c>
      <c r="AD309" s="18">
        <f>IF(DataTable[[#This Row],[explanation1]]="TP",1,IF(DataTable[[#This Row],[explanation2]]="TP",1,0))</f>
        <v>0</v>
      </c>
      <c r="AE309" s="18">
        <f>IF(DataTable[[#This Row],[explanation1]]="WP",1,IF(DataTable[[#This Row],[explanation2]]="WP",1,0))</f>
        <v>0</v>
      </c>
      <c r="AF309" s="18">
        <f>IF(DataTable[[#This Row],[explanation1]]="BR",1,IF(DataTable[[#This Row],[explanation2]]="BR",1,0))</f>
        <v>0</v>
      </c>
      <c r="AG309" s="18">
        <f>IF(DataTable[[#This Row],[explanation1]]="LS",1,IF(DataTable[[#This Row],[explanation2]]="LS",1,0))</f>
        <v>0</v>
      </c>
      <c r="AH309" s="30" t="s">
        <v>6</v>
      </c>
    </row>
    <row r="310" spans="1:34" x14ac:dyDescent="0.2">
      <c r="A310" s="22">
        <v>308</v>
      </c>
      <c r="B310" s="23" t="s">
        <v>60</v>
      </c>
      <c r="C310" s="24" t="s">
        <v>74</v>
      </c>
      <c r="D310" s="25">
        <v>50</v>
      </c>
      <c r="E310" s="23" t="s">
        <v>58</v>
      </c>
      <c r="F310" s="25">
        <v>22</v>
      </c>
      <c r="G310" s="23" t="s">
        <v>60</v>
      </c>
      <c r="H310" s="24" t="s">
        <v>48</v>
      </c>
      <c r="I310" s="25" t="str">
        <f t="shared" si="4"/>
        <v>L5</v>
      </c>
      <c r="J310" s="23" t="s">
        <v>78</v>
      </c>
      <c r="K310" s="25" t="s">
        <v>78</v>
      </c>
      <c r="L310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10" s="24">
        <f>IF(DataTable[[#This Row],[3x head (H)/tail (T)?]]=DataTable[[#This Row],[then 4th: H/T/B/0]],1,0)</f>
        <v>1</v>
      </c>
      <c r="N310" s="24">
        <f>IF(DataTable[[#This Row],[then 4th: H/T/B/0]]="B",1,0)</f>
        <v>0</v>
      </c>
      <c r="O310" s="23" t="s">
        <v>331</v>
      </c>
      <c r="P310" s="24">
        <v>21</v>
      </c>
      <c r="Q310" s="168" t="s">
        <v>71</v>
      </c>
      <c r="R310" s="25" t="s">
        <v>58</v>
      </c>
      <c r="S310" s="27" t="s">
        <v>75</v>
      </c>
      <c r="T310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10" s="28" t="s">
        <v>76</v>
      </c>
      <c r="V310" s="29" t="s">
        <v>11</v>
      </c>
      <c r="W310" s="29"/>
      <c r="X310" s="27"/>
      <c r="Y310" s="27">
        <f>IF(DataTable[[#This Row],[explanation1]]="BL",1,IF(DataTable[[#This Row],[explanation2]]="BL",1,IF(DataTable[[#This Row],[explanation1]]="BR",1,IF(DataTable[[#This Row],[explanation2]]="BR",1,0))))</f>
        <v>0</v>
      </c>
      <c r="Z310" s="18">
        <f>IF(DataTable[[#This Row],[explanation1]]="BL",1,IF(DataTable[[#This Row],[explanation2]]="BL",1,0))</f>
        <v>0</v>
      </c>
      <c r="AA310" s="18">
        <f>IF(DataTable[[#This Row],[explanation1]]="WJ",1,IF(DataTable[[#This Row],[explanation2]]="WJ",1,0))</f>
        <v>0</v>
      </c>
      <c r="AB310" s="18">
        <f>IF(DataTable[[#This Row],[explanation1]]="U",1,IF(DataTable[[#This Row],[explanation2]]="U",1,0))</f>
        <v>0</v>
      </c>
      <c r="AC310" s="18">
        <f>IF(DataTable[[#This Row],[explanation1]]="O",1,IF(DataTable[[#This Row],[explanation2]]="O",1,0))</f>
        <v>0</v>
      </c>
      <c r="AD310" s="18">
        <f>IF(DataTable[[#This Row],[explanation1]]="TP",1,IF(DataTable[[#This Row],[explanation2]]="TP",1,0))</f>
        <v>0</v>
      </c>
      <c r="AE310" s="18">
        <f>IF(DataTable[[#This Row],[explanation1]]="WP",1,IF(DataTable[[#This Row],[explanation2]]="WP",1,0))</f>
        <v>1</v>
      </c>
      <c r="AF310" s="18">
        <f>IF(DataTable[[#This Row],[explanation1]]="BR",1,IF(DataTable[[#This Row],[explanation2]]="BR",1,0))</f>
        <v>0</v>
      </c>
      <c r="AG310" s="18">
        <f>IF(DataTable[[#This Row],[explanation1]]="LS",1,IF(DataTable[[#This Row],[explanation2]]="LS",1,0))</f>
        <v>0</v>
      </c>
      <c r="AH310" s="37" t="s">
        <v>343</v>
      </c>
    </row>
    <row r="311" spans="1:34" x14ac:dyDescent="0.2">
      <c r="A311" s="13">
        <v>309</v>
      </c>
      <c r="B311" s="14" t="s">
        <v>60</v>
      </c>
      <c r="C311" s="15" t="s">
        <v>74</v>
      </c>
      <c r="D311" s="16">
        <v>50</v>
      </c>
      <c r="E311" s="14" t="s">
        <v>58</v>
      </c>
      <c r="F311" s="16">
        <v>62</v>
      </c>
      <c r="G311" s="14" t="s">
        <v>60</v>
      </c>
      <c r="H311" s="15" t="s">
        <v>48</v>
      </c>
      <c r="I311" s="16" t="str">
        <f t="shared" si="4"/>
        <v>L5</v>
      </c>
      <c r="J311" s="14" t="s">
        <v>78</v>
      </c>
      <c r="K311" s="16" t="s">
        <v>50</v>
      </c>
      <c r="L311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11" s="15">
        <f>IF(DataTable[[#This Row],[3x head (H)/tail (T)?]]=DataTable[[#This Row],[then 4th: H/T/B/0]],1,0)</f>
        <v>0</v>
      </c>
      <c r="N311" s="15">
        <f>IF(DataTable[[#This Row],[then 4th: H/T/B/0]]="B",1,0)</f>
        <v>1</v>
      </c>
      <c r="O311" s="14" t="s">
        <v>331</v>
      </c>
      <c r="P311" s="15">
        <v>21</v>
      </c>
      <c r="Q311" s="169" t="s">
        <v>118</v>
      </c>
      <c r="R311" s="16" t="s">
        <v>58</v>
      </c>
      <c r="S311" s="18" t="s">
        <v>75</v>
      </c>
      <c r="T311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11" s="19" t="s">
        <v>76</v>
      </c>
      <c r="V311" s="20" t="s">
        <v>13</v>
      </c>
      <c r="W311" s="20"/>
      <c r="X311" s="18"/>
      <c r="Y311" s="18">
        <f>IF(DataTable[[#This Row],[explanation1]]="BL",1,IF(DataTable[[#This Row],[explanation2]]="BL",1,IF(DataTable[[#This Row],[explanation1]]="BR",1,IF(DataTable[[#This Row],[explanation2]]="BR",1,0))))</f>
        <v>0</v>
      </c>
      <c r="Z311" s="18">
        <f>IF(DataTable[[#This Row],[explanation1]]="BL",1,IF(DataTable[[#This Row],[explanation2]]="BL",1,0))</f>
        <v>0</v>
      </c>
      <c r="AA311" s="18">
        <f>IF(DataTable[[#This Row],[explanation1]]="WJ",1,IF(DataTable[[#This Row],[explanation2]]="WJ",1,0))</f>
        <v>0</v>
      </c>
      <c r="AB311" s="18">
        <f>IF(DataTable[[#This Row],[explanation1]]="U",1,IF(DataTable[[#This Row],[explanation2]]="U",1,0))</f>
        <v>0</v>
      </c>
      <c r="AC311" s="18">
        <f>IF(DataTable[[#This Row],[explanation1]]="O",1,IF(DataTable[[#This Row],[explanation2]]="O",1,0))</f>
        <v>0</v>
      </c>
      <c r="AD311" s="18">
        <f>IF(DataTable[[#This Row],[explanation1]]="TP",1,IF(DataTable[[#This Row],[explanation2]]="TP",1,0))</f>
        <v>0</v>
      </c>
      <c r="AE311" s="18">
        <f>IF(DataTable[[#This Row],[explanation1]]="WP",1,IF(DataTable[[#This Row],[explanation2]]="WP",1,0))</f>
        <v>0</v>
      </c>
      <c r="AF311" s="18">
        <f>IF(DataTable[[#This Row],[explanation1]]="BR",1,IF(DataTable[[#This Row],[explanation2]]="BR",1,0))</f>
        <v>0</v>
      </c>
      <c r="AG311" s="18">
        <f>IF(DataTable[[#This Row],[explanation1]]="LS",1,IF(DataTable[[#This Row],[explanation2]]="LS",1,0))</f>
        <v>1</v>
      </c>
      <c r="AH311" s="30" t="s">
        <v>13</v>
      </c>
    </row>
    <row r="312" spans="1:34" x14ac:dyDescent="0.2">
      <c r="A312" s="22">
        <v>310</v>
      </c>
      <c r="B312" s="23" t="s">
        <v>60</v>
      </c>
      <c r="C312" s="24" t="s">
        <v>74</v>
      </c>
      <c r="D312" s="25">
        <v>50</v>
      </c>
      <c r="E312" s="23" t="s">
        <v>46</v>
      </c>
      <c r="F312" s="25">
        <v>19</v>
      </c>
      <c r="G312" s="23" t="s">
        <v>47</v>
      </c>
      <c r="H312" s="24" t="s">
        <v>48</v>
      </c>
      <c r="I312" s="25" t="str">
        <f t="shared" si="4"/>
        <v>R</v>
      </c>
      <c r="J312" s="23" t="s">
        <v>49</v>
      </c>
      <c r="K312" s="25" t="s">
        <v>50</v>
      </c>
      <c r="L312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12" s="24">
        <f>IF(DataTable[[#This Row],[3x head (H)/tail (T)?]]=DataTable[[#This Row],[then 4th: H/T/B/0]],1,0)</f>
        <v>0</v>
      </c>
      <c r="N312" s="24">
        <f>IF(DataTable[[#This Row],[then 4th: H/T/B/0]]="B",1,0)</f>
        <v>1</v>
      </c>
      <c r="O312" s="23" t="s">
        <v>331</v>
      </c>
      <c r="P312" s="24">
        <v>21</v>
      </c>
      <c r="Q312" s="168" t="s">
        <v>71</v>
      </c>
      <c r="R312" s="25" t="s">
        <v>58</v>
      </c>
      <c r="S312" s="27" t="s">
        <v>75</v>
      </c>
      <c r="T312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12" s="28" t="s">
        <v>76</v>
      </c>
      <c r="V312" s="29" t="s">
        <v>6</v>
      </c>
      <c r="W312" s="29"/>
      <c r="X312" s="27"/>
      <c r="Y312" s="27">
        <f>IF(DataTable[[#This Row],[explanation1]]="BL",1,IF(DataTable[[#This Row],[explanation2]]="BL",1,IF(DataTable[[#This Row],[explanation1]]="BR",1,IF(DataTable[[#This Row],[explanation2]]="BR",1,0))))</f>
        <v>1</v>
      </c>
      <c r="Z312" s="18">
        <f>IF(DataTable[[#This Row],[explanation1]]="BL",1,IF(DataTable[[#This Row],[explanation2]]="BL",1,0))</f>
        <v>1</v>
      </c>
      <c r="AA312" s="18">
        <f>IF(DataTable[[#This Row],[explanation1]]="WJ",1,IF(DataTable[[#This Row],[explanation2]]="WJ",1,0))</f>
        <v>0</v>
      </c>
      <c r="AB312" s="18">
        <f>IF(DataTable[[#This Row],[explanation1]]="U",1,IF(DataTable[[#This Row],[explanation2]]="U",1,0))</f>
        <v>0</v>
      </c>
      <c r="AC312" s="18">
        <f>IF(DataTable[[#This Row],[explanation1]]="O",1,IF(DataTable[[#This Row],[explanation2]]="O",1,0))</f>
        <v>0</v>
      </c>
      <c r="AD312" s="18">
        <f>IF(DataTable[[#This Row],[explanation1]]="TP",1,IF(DataTable[[#This Row],[explanation2]]="TP",1,0))</f>
        <v>0</v>
      </c>
      <c r="AE312" s="18">
        <f>IF(DataTable[[#This Row],[explanation1]]="WP",1,IF(DataTable[[#This Row],[explanation2]]="WP",1,0))</f>
        <v>0</v>
      </c>
      <c r="AF312" s="18">
        <f>IF(DataTable[[#This Row],[explanation1]]="BR",1,IF(DataTable[[#This Row],[explanation2]]="BR",1,0))</f>
        <v>0</v>
      </c>
      <c r="AG312" s="18">
        <f>IF(DataTable[[#This Row],[explanation1]]="LS",1,IF(DataTable[[#This Row],[explanation2]]="LS",1,0))</f>
        <v>0</v>
      </c>
      <c r="AH312" s="37" t="s">
        <v>6</v>
      </c>
    </row>
    <row r="313" spans="1:34" x14ac:dyDescent="0.2">
      <c r="A313" s="13">
        <v>311</v>
      </c>
      <c r="B313" s="14" t="s">
        <v>60</v>
      </c>
      <c r="C313" s="15" t="s">
        <v>74</v>
      </c>
      <c r="D313" s="16">
        <v>50</v>
      </c>
      <c r="E313" s="14" t="s">
        <v>46</v>
      </c>
      <c r="F313" s="16">
        <v>24</v>
      </c>
      <c r="G313" s="14" t="s">
        <v>47</v>
      </c>
      <c r="H313" s="15" t="s">
        <v>48</v>
      </c>
      <c r="I313" s="16" t="str">
        <f t="shared" si="4"/>
        <v>R</v>
      </c>
      <c r="J313" s="14" t="s">
        <v>49</v>
      </c>
      <c r="K313" s="16" t="s">
        <v>49</v>
      </c>
      <c r="L313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13" s="15">
        <f>IF(DataTable[[#This Row],[3x head (H)/tail (T)?]]=DataTable[[#This Row],[then 4th: H/T/B/0]],1,0)</f>
        <v>1</v>
      </c>
      <c r="N313" s="15">
        <f>IF(DataTable[[#This Row],[then 4th: H/T/B/0]]="B",1,0)</f>
        <v>0</v>
      </c>
      <c r="O313" s="14" t="s">
        <v>331</v>
      </c>
      <c r="P313" s="15">
        <v>21</v>
      </c>
      <c r="Q313" s="169" t="s">
        <v>118</v>
      </c>
      <c r="R313" s="16" t="s">
        <v>58</v>
      </c>
      <c r="S313" s="18" t="s">
        <v>65</v>
      </c>
      <c r="T313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313" s="19" t="s">
        <v>329</v>
      </c>
      <c r="V313" s="20" t="s">
        <v>6</v>
      </c>
      <c r="W313" s="20"/>
      <c r="X313" s="18"/>
      <c r="Y313" s="18">
        <f>IF(DataTable[[#This Row],[explanation1]]="BL",1,IF(DataTable[[#This Row],[explanation2]]="BL",1,IF(DataTable[[#This Row],[explanation1]]="BR",1,IF(DataTable[[#This Row],[explanation2]]="BR",1,0))))</f>
        <v>1</v>
      </c>
      <c r="Z313" s="18">
        <f>IF(DataTable[[#This Row],[explanation1]]="BL",1,IF(DataTable[[#This Row],[explanation2]]="BL",1,0))</f>
        <v>1</v>
      </c>
      <c r="AA313" s="18">
        <f>IF(DataTable[[#This Row],[explanation1]]="WJ",1,IF(DataTable[[#This Row],[explanation2]]="WJ",1,0))</f>
        <v>0</v>
      </c>
      <c r="AB313" s="18">
        <f>IF(DataTable[[#This Row],[explanation1]]="U",1,IF(DataTable[[#This Row],[explanation2]]="U",1,0))</f>
        <v>0</v>
      </c>
      <c r="AC313" s="18">
        <f>IF(DataTable[[#This Row],[explanation1]]="O",1,IF(DataTable[[#This Row],[explanation2]]="O",1,0))</f>
        <v>0</v>
      </c>
      <c r="AD313" s="18">
        <f>IF(DataTable[[#This Row],[explanation1]]="TP",1,IF(DataTable[[#This Row],[explanation2]]="TP",1,0))</f>
        <v>0</v>
      </c>
      <c r="AE313" s="18">
        <f>IF(DataTable[[#This Row],[explanation1]]="WP",1,IF(DataTable[[#This Row],[explanation2]]="WP",1,0))</f>
        <v>0</v>
      </c>
      <c r="AF313" s="18">
        <f>IF(DataTable[[#This Row],[explanation1]]="BR",1,IF(DataTable[[#This Row],[explanation2]]="BR",1,0))</f>
        <v>0</v>
      </c>
      <c r="AG313" s="18">
        <f>IF(DataTable[[#This Row],[explanation1]]="LS",1,IF(DataTable[[#This Row],[explanation2]]="LS",1,0))</f>
        <v>0</v>
      </c>
      <c r="AH313" s="30" t="s">
        <v>6</v>
      </c>
    </row>
    <row r="314" spans="1:34" x14ac:dyDescent="0.2">
      <c r="A314" s="22">
        <v>312</v>
      </c>
      <c r="B314" s="23" t="s">
        <v>60</v>
      </c>
      <c r="C314" s="24" t="s">
        <v>45</v>
      </c>
      <c r="D314" s="25">
        <v>1</v>
      </c>
      <c r="E314" s="23" t="s">
        <v>58</v>
      </c>
      <c r="F314" s="25">
        <v>22</v>
      </c>
      <c r="G314" s="23" t="s">
        <v>47</v>
      </c>
      <c r="H314" s="24" t="s">
        <v>48</v>
      </c>
      <c r="I314" s="25" t="str">
        <f t="shared" si="4"/>
        <v>R</v>
      </c>
      <c r="J314" s="23" t="s">
        <v>49</v>
      </c>
      <c r="K314" s="25" t="s">
        <v>50</v>
      </c>
      <c r="L314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14" s="24">
        <f>IF(DataTable[[#This Row],[3x head (H)/tail (T)?]]=DataTable[[#This Row],[then 4th: H/T/B/0]],1,0)</f>
        <v>0</v>
      </c>
      <c r="N314" s="24">
        <f>IF(DataTable[[#This Row],[then 4th: H/T/B/0]]="B",1,0)</f>
        <v>1</v>
      </c>
      <c r="O314" s="23" t="s">
        <v>327</v>
      </c>
      <c r="P314" s="24">
        <v>14</v>
      </c>
      <c r="Q314" s="168" t="s">
        <v>411</v>
      </c>
      <c r="R314" s="25" t="s">
        <v>58</v>
      </c>
      <c r="S314" s="27" t="s">
        <v>65</v>
      </c>
      <c r="T314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314" s="28" t="s">
        <v>344</v>
      </c>
      <c r="V314" s="29" t="s">
        <v>9</v>
      </c>
      <c r="W314" s="29"/>
      <c r="X314" s="27"/>
      <c r="Y314" s="27">
        <f>IF(DataTable[[#This Row],[explanation1]]="BL",1,IF(DataTable[[#This Row],[explanation2]]="BL",1,IF(DataTable[[#This Row],[explanation1]]="BR",1,IF(DataTable[[#This Row],[explanation2]]="BR",1,0))))</f>
        <v>0</v>
      </c>
      <c r="Z314" s="18">
        <f>IF(DataTable[[#This Row],[explanation1]]="BL",1,IF(DataTable[[#This Row],[explanation2]]="BL",1,0))</f>
        <v>0</v>
      </c>
      <c r="AA314" s="18">
        <f>IF(DataTable[[#This Row],[explanation1]]="WJ",1,IF(DataTable[[#This Row],[explanation2]]="WJ",1,0))</f>
        <v>0</v>
      </c>
      <c r="AB314" s="18">
        <f>IF(DataTable[[#This Row],[explanation1]]="U",1,IF(DataTable[[#This Row],[explanation2]]="U",1,0))</f>
        <v>0</v>
      </c>
      <c r="AC314" s="18">
        <f>IF(DataTable[[#This Row],[explanation1]]="O",1,IF(DataTable[[#This Row],[explanation2]]="O",1,0))</f>
        <v>1</v>
      </c>
      <c r="AD314" s="18">
        <f>IF(DataTable[[#This Row],[explanation1]]="TP",1,IF(DataTable[[#This Row],[explanation2]]="TP",1,0))</f>
        <v>0</v>
      </c>
      <c r="AE314" s="18">
        <f>IF(DataTable[[#This Row],[explanation1]]="WP",1,IF(DataTable[[#This Row],[explanation2]]="WP",1,0))</f>
        <v>0</v>
      </c>
      <c r="AF314" s="18">
        <f>IF(DataTable[[#This Row],[explanation1]]="BR",1,IF(DataTable[[#This Row],[explanation2]]="BR",1,0))</f>
        <v>0</v>
      </c>
      <c r="AG314" s="18">
        <f>IF(DataTable[[#This Row],[explanation1]]="LS",1,IF(DataTable[[#This Row],[explanation2]]="LS",1,0))</f>
        <v>0</v>
      </c>
      <c r="AH314" s="37" t="s">
        <v>9</v>
      </c>
    </row>
    <row r="315" spans="1:34" x14ac:dyDescent="0.2">
      <c r="A315" s="13">
        <v>313</v>
      </c>
      <c r="B315" s="14" t="s">
        <v>60</v>
      </c>
      <c r="C315" s="15" t="s">
        <v>45</v>
      </c>
      <c r="D315" s="16">
        <v>1</v>
      </c>
      <c r="E315" s="14" t="s">
        <v>58</v>
      </c>
      <c r="F315" s="16">
        <v>48</v>
      </c>
      <c r="G315" s="14" t="s">
        <v>47</v>
      </c>
      <c r="H315" s="15" t="s">
        <v>48</v>
      </c>
      <c r="I315" s="16" t="str">
        <f t="shared" si="4"/>
        <v>R</v>
      </c>
      <c r="J315" s="14" t="s">
        <v>49</v>
      </c>
      <c r="K315" s="16" t="s">
        <v>50</v>
      </c>
      <c r="L315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15" s="15">
        <f>IF(DataTable[[#This Row],[3x head (H)/tail (T)?]]=DataTable[[#This Row],[then 4th: H/T/B/0]],1,0)</f>
        <v>0</v>
      </c>
      <c r="N315" s="15">
        <f>IF(DataTable[[#This Row],[then 4th: H/T/B/0]]="B",1,0)</f>
        <v>1</v>
      </c>
      <c r="O315" s="14" t="s">
        <v>335</v>
      </c>
      <c r="P315" s="15">
        <v>14</v>
      </c>
      <c r="Q315" s="169" t="s">
        <v>118</v>
      </c>
      <c r="R315" s="16" t="s">
        <v>58</v>
      </c>
      <c r="S315" s="18" t="s">
        <v>103</v>
      </c>
      <c r="T315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5</v>
      </c>
      <c r="U315" s="19" t="s">
        <v>248</v>
      </c>
      <c r="V315" s="20" t="s">
        <v>6</v>
      </c>
      <c r="W315" s="20"/>
      <c r="X315" s="18"/>
      <c r="Y315" s="18">
        <f>IF(DataTable[[#This Row],[explanation1]]="BL",1,IF(DataTable[[#This Row],[explanation2]]="BL",1,IF(DataTable[[#This Row],[explanation1]]="BR",1,IF(DataTable[[#This Row],[explanation2]]="BR",1,0))))</f>
        <v>1</v>
      </c>
      <c r="Z315" s="18">
        <f>IF(DataTable[[#This Row],[explanation1]]="BL",1,IF(DataTable[[#This Row],[explanation2]]="BL",1,0))</f>
        <v>1</v>
      </c>
      <c r="AA315" s="18">
        <f>IF(DataTable[[#This Row],[explanation1]]="WJ",1,IF(DataTable[[#This Row],[explanation2]]="WJ",1,0))</f>
        <v>0</v>
      </c>
      <c r="AB315" s="18">
        <f>IF(DataTable[[#This Row],[explanation1]]="U",1,IF(DataTable[[#This Row],[explanation2]]="U",1,0))</f>
        <v>0</v>
      </c>
      <c r="AC315" s="18">
        <f>IF(DataTable[[#This Row],[explanation1]]="O",1,IF(DataTable[[#This Row],[explanation2]]="O",1,0))</f>
        <v>0</v>
      </c>
      <c r="AD315" s="18">
        <f>IF(DataTable[[#This Row],[explanation1]]="TP",1,IF(DataTable[[#This Row],[explanation2]]="TP",1,0))</f>
        <v>0</v>
      </c>
      <c r="AE315" s="18">
        <f>IF(DataTable[[#This Row],[explanation1]]="WP",1,IF(DataTable[[#This Row],[explanation2]]="WP",1,0))</f>
        <v>0</v>
      </c>
      <c r="AF315" s="18">
        <f>IF(DataTable[[#This Row],[explanation1]]="BR",1,IF(DataTable[[#This Row],[explanation2]]="BR",1,0))</f>
        <v>0</v>
      </c>
      <c r="AG315" s="18">
        <f>IF(DataTable[[#This Row],[explanation1]]="LS",1,IF(DataTable[[#This Row],[explanation2]]="LS",1,0))</f>
        <v>0</v>
      </c>
      <c r="AH315" s="30" t="s">
        <v>6</v>
      </c>
    </row>
    <row r="316" spans="1:34" x14ac:dyDescent="0.2">
      <c r="A316" s="22">
        <v>314</v>
      </c>
      <c r="B316" s="23" t="s">
        <v>60</v>
      </c>
      <c r="C316" s="24" t="s">
        <v>45</v>
      </c>
      <c r="D316" s="25">
        <v>1</v>
      </c>
      <c r="E316" s="23" t="s">
        <v>46</v>
      </c>
      <c r="F316" s="25">
        <v>18</v>
      </c>
      <c r="G316" s="23" t="s">
        <v>47</v>
      </c>
      <c r="H316" s="24" t="s">
        <v>48</v>
      </c>
      <c r="I316" s="25" t="str">
        <f t="shared" si="4"/>
        <v>R</v>
      </c>
      <c r="J316" s="23" t="s">
        <v>78</v>
      </c>
      <c r="K316" s="25" t="s">
        <v>49</v>
      </c>
      <c r="L316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316" s="24">
        <f>IF(DataTable[[#This Row],[3x head (H)/tail (T)?]]=DataTable[[#This Row],[then 4th: H/T/B/0]],1,0)</f>
        <v>0</v>
      </c>
      <c r="N316" s="24">
        <f>IF(DataTable[[#This Row],[then 4th: H/T/B/0]]="B",1,0)</f>
        <v>0</v>
      </c>
      <c r="O316" s="23" t="s">
        <v>327</v>
      </c>
      <c r="P316" s="24">
        <v>21</v>
      </c>
      <c r="Q316" s="168" t="s">
        <v>411</v>
      </c>
      <c r="R316" s="25" t="s">
        <v>58</v>
      </c>
      <c r="S316" s="27" t="s">
        <v>103</v>
      </c>
      <c r="T316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5</v>
      </c>
      <c r="U316" s="28" t="s">
        <v>333</v>
      </c>
      <c r="V316" s="29" t="s">
        <v>6</v>
      </c>
      <c r="W316" s="29"/>
      <c r="X316" s="27"/>
      <c r="Y316" s="27">
        <f>IF(DataTable[[#This Row],[explanation1]]="BL",1,IF(DataTable[[#This Row],[explanation2]]="BL",1,IF(DataTable[[#This Row],[explanation1]]="BR",1,IF(DataTable[[#This Row],[explanation2]]="BR",1,0))))</f>
        <v>1</v>
      </c>
      <c r="Z316" s="18">
        <f>IF(DataTable[[#This Row],[explanation1]]="BL",1,IF(DataTable[[#This Row],[explanation2]]="BL",1,0))</f>
        <v>1</v>
      </c>
      <c r="AA316" s="18">
        <f>IF(DataTable[[#This Row],[explanation1]]="WJ",1,IF(DataTable[[#This Row],[explanation2]]="WJ",1,0))</f>
        <v>0</v>
      </c>
      <c r="AB316" s="18">
        <f>IF(DataTable[[#This Row],[explanation1]]="U",1,IF(DataTable[[#This Row],[explanation2]]="U",1,0))</f>
        <v>0</v>
      </c>
      <c r="AC316" s="18">
        <f>IF(DataTable[[#This Row],[explanation1]]="O",1,IF(DataTable[[#This Row],[explanation2]]="O",1,0))</f>
        <v>0</v>
      </c>
      <c r="AD316" s="18">
        <f>IF(DataTable[[#This Row],[explanation1]]="TP",1,IF(DataTable[[#This Row],[explanation2]]="TP",1,0))</f>
        <v>0</v>
      </c>
      <c r="AE316" s="18">
        <f>IF(DataTable[[#This Row],[explanation1]]="WP",1,IF(DataTable[[#This Row],[explanation2]]="WP",1,0))</f>
        <v>0</v>
      </c>
      <c r="AF316" s="18">
        <f>IF(DataTable[[#This Row],[explanation1]]="BR",1,IF(DataTable[[#This Row],[explanation2]]="BR",1,0))</f>
        <v>0</v>
      </c>
      <c r="AG316" s="18">
        <f>IF(DataTable[[#This Row],[explanation1]]="LS",1,IF(DataTable[[#This Row],[explanation2]]="LS",1,0))</f>
        <v>0</v>
      </c>
      <c r="AH316" s="37" t="s">
        <v>6</v>
      </c>
    </row>
    <row r="317" spans="1:34" x14ac:dyDescent="0.2">
      <c r="A317" s="13">
        <v>315</v>
      </c>
      <c r="B317" s="14" t="s">
        <v>60</v>
      </c>
      <c r="C317" s="15" t="s">
        <v>45</v>
      </c>
      <c r="D317" s="16">
        <v>50</v>
      </c>
      <c r="E317" s="14" t="s">
        <v>58</v>
      </c>
      <c r="F317" s="16">
        <v>22</v>
      </c>
      <c r="G317" s="14" t="s">
        <v>47</v>
      </c>
      <c r="H317" s="15" t="s">
        <v>48</v>
      </c>
      <c r="I317" s="16" t="str">
        <f t="shared" si="4"/>
        <v>R</v>
      </c>
      <c r="J317" s="14" t="s">
        <v>49</v>
      </c>
      <c r="K317" s="16" t="s">
        <v>78</v>
      </c>
      <c r="L317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317" s="15">
        <f>IF(DataTable[[#This Row],[3x head (H)/tail (T)?]]=DataTable[[#This Row],[then 4th: H/T/B/0]],1,0)</f>
        <v>0</v>
      </c>
      <c r="N317" s="15">
        <f>IF(DataTable[[#This Row],[then 4th: H/T/B/0]]="B",1,0)</f>
        <v>0</v>
      </c>
      <c r="O317" s="14" t="s">
        <v>327</v>
      </c>
      <c r="P317" s="15">
        <v>14</v>
      </c>
      <c r="Q317" s="169" t="s">
        <v>411</v>
      </c>
      <c r="R317" s="16" t="s">
        <v>58</v>
      </c>
      <c r="S317" s="18" t="s">
        <v>75</v>
      </c>
      <c r="T317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17" s="19" t="s">
        <v>76</v>
      </c>
      <c r="V317" s="20" t="s">
        <v>6</v>
      </c>
      <c r="W317" s="20"/>
      <c r="X317" s="18"/>
      <c r="Y317" s="18">
        <f>IF(DataTable[[#This Row],[explanation1]]="BL",1,IF(DataTable[[#This Row],[explanation2]]="BL",1,IF(DataTable[[#This Row],[explanation1]]="BR",1,IF(DataTable[[#This Row],[explanation2]]="BR",1,0))))</f>
        <v>1</v>
      </c>
      <c r="Z317" s="18">
        <f>IF(DataTable[[#This Row],[explanation1]]="BL",1,IF(DataTable[[#This Row],[explanation2]]="BL",1,0))</f>
        <v>1</v>
      </c>
      <c r="AA317" s="18">
        <f>IF(DataTable[[#This Row],[explanation1]]="WJ",1,IF(DataTable[[#This Row],[explanation2]]="WJ",1,0))</f>
        <v>0</v>
      </c>
      <c r="AB317" s="18">
        <f>IF(DataTable[[#This Row],[explanation1]]="U",1,IF(DataTable[[#This Row],[explanation2]]="U",1,0))</f>
        <v>0</v>
      </c>
      <c r="AC317" s="18">
        <f>IF(DataTable[[#This Row],[explanation1]]="O",1,IF(DataTable[[#This Row],[explanation2]]="O",1,0))</f>
        <v>0</v>
      </c>
      <c r="AD317" s="18">
        <f>IF(DataTable[[#This Row],[explanation1]]="TP",1,IF(DataTable[[#This Row],[explanation2]]="TP",1,0))</f>
        <v>0</v>
      </c>
      <c r="AE317" s="18">
        <f>IF(DataTable[[#This Row],[explanation1]]="WP",1,IF(DataTable[[#This Row],[explanation2]]="WP",1,0))</f>
        <v>0</v>
      </c>
      <c r="AF317" s="18">
        <f>IF(DataTable[[#This Row],[explanation1]]="BR",1,IF(DataTable[[#This Row],[explanation2]]="BR",1,0))</f>
        <v>0</v>
      </c>
      <c r="AG317" s="18">
        <f>IF(DataTable[[#This Row],[explanation1]]="LS",1,IF(DataTable[[#This Row],[explanation2]]="LS",1,0))</f>
        <v>0</v>
      </c>
      <c r="AH317" s="30" t="s">
        <v>6</v>
      </c>
    </row>
    <row r="318" spans="1:34" x14ac:dyDescent="0.2">
      <c r="A318" s="22">
        <v>316</v>
      </c>
      <c r="B318" s="23" t="s">
        <v>60</v>
      </c>
      <c r="C318" s="24" t="s">
        <v>45</v>
      </c>
      <c r="D318" s="25">
        <v>50</v>
      </c>
      <c r="E318" s="23" t="s">
        <v>58</v>
      </c>
      <c r="F318" s="25">
        <v>52</v>
      </c>
      <c r="G318" s="23" t="s">
        <v>60</v>
      </c>
      <c r="H318" s="24" t="s">
        <v>48</v>
      </c>
      <c r="I318" s="25" t="str">
        <f t="shared" si="4"/>
        <v>L5</v>
      </c>
      <c r="J318" s="23" t="s">
        <v>49</v>
      </c>
      <c r="K318" s="25" t="s">
        <v>49</v>
      </c>
      <c r="L318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18" s="24">
        <f>IF(DataTable[[#This Row],[3x head (H)/tail (T)?]]=DataTable[[#This Row],[then 4th: H/T/B/0]],1,0)</f>
        <v>1</v>
      </c>
      <c r="N318" s="24">
        <f>IF(DataTable[[#This Row],[then 4th: H/T/B/0]]="B",1,0)</f>
        <v>0</v>
      </c>
      <c r="O318" s="23" t="s">
        <v>335</v>
      </c>
      <c r="P318" s="24">
        <v>14</v>
      </c>
      <c r="Q318" s="168" t="s">
        <v>118</v>
      </c>
      <c r="R318" s="25" t="s">
        <v>58</v>
      </c>
      <c r="S318" s="27" t="s">
        <v>54</v>
      </c>
      <c r="T318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318" s="28" t="s">
        <v>342</v>
      </c>
      <c r="V318" s="29" t="s">
        <v>9</v>
      </c>
      <c r="W318" s="29"/>
      <c r="X318" s="27"/>
      <c r="Y318" s="27">
        <f>IF(DataTable[[#This Row],[explanation1]]="BL",1,IF(DataTable[[#This Row],[explanation2]]="BL",1,IF(DataTable[[#This Row],[explanation1]]="BR",1,IF(DataTable[[#This Row],[explanation2]]="BR",1,0))))</f>
        <v>0</v>
      </c>
      <c r="Z318" s="18">
        <f>IF(DataTable[[#This Row],[explanation1]]="BL",1,IF(DataTable[[#This Row],[explanation2]]="BL",1,0))</f>
        <v>0</v>
      </c>
      <c r="AA318" s="18">
        <f>IF(DataTable[[#This Row],[explanation1]]="WJ",1,IF(DataTable[[#This Row],[explanation2]]="WJ",1,0))</f>
        <v>0</v>
      </c>
      <c r="AB318" s="18">
        <f>IF(DataTable[[#This Row],[explanation1]]="U",1,IF(DataTable[[#This Row],[explanation2]]="U",1,0))</f>
        <v>0</v>
      </c>
      <c r="AC318" s="18">
        <f>IF(DataTable[[#This Row],[explanation1]]="O",1,IF(DataTable[[#This Row],[explanation2]]="O",1,0))</f>
        <v>1</v>
      </c>
      <c r="AD318" s="18">
        <f>IF(DataTable[[#This Row],[explanation1]]="TP",1,IF(DataTable[[#This Row],[explanation2]]="TP",1,0))</f>
        <v>0</v>
      </c>
      <c r="AE318" s="18">
        <f>IF(DataTable[[#This Row],[explanation1]]="WP",1,IF(DataTable[[#This Row],[explanation2]]="WP",1,0))</f>
        <v>0</v>
      </c>
      <c r="AF318" s="18">
        <f>IF(DataTable[[#This Row],[explanation1]]="BR",1,IF(DataTable[[#This Row],[explanation2]]="BR",1,0))</f>
        <v>0</v>
      </c>
      <c r="AG318" s="18">
        <f>IF(DataTable[[#This Row],[explanation1]]="LS",1,IF(DataTable[[#This Row],[explanation2]]="LS",1,0))</f>
        <v>0</v>
      </c>
      <c r="AH318" s="37" t="s">
        <v>9</v>
      </c>
    </row>
    <row r="319" spans="1:34" x14ac:dyDescent="0.2">
      <c r="A319" s="13">
        <v>317</v>
      </c>
      <c r="B319" s="14" t="s">
        <v>60</v>
      </c>
      <c r="C319" s="15" t="s">
        <v>45</v>
      </c>
      <c r="D319" s="16">
        <v>50</v>
      </c>
      <c r="E319" s="14" t="s">
        <v>46</v>
      </c>
      <c r="F319" s="16">
        <v>18</v>
      </c>
      <c r="G319" s="14" t="s">
        <v>60</v>
      </c>
      <c r="H319" s="15" t="s">
        <v>48</v>
      </c>
      <c r="I319" s="16" t="str">
        <f t="shared" si="4"/>
        <v>L5</v>
      </c>
      <c r="J319" s="14" t="s">
        <v>78</v>
      </c>
      <c r="K319" s="16" t="s">
        <v>49</v>
      </c>
      <c r="L319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319" s="15">
        <f>IF(DataTable[[#This Row],[3x head (H)/tail (T)?]]=DataTable[[#This Row],[then 4th: H/T/B/0]],1,0)</f>
        <v>0</v>
      </c>
      <c r="N319" s="15">
        <f>IF(DataTable[[#This Row],[then 4th: H/T/B/0]]="B",1,0)</f>
        <v>0</v>
      </c>
      <c r="O319" s="14" t="s">
        <v>327</v>
      </c>
      <c r="P319" s="15">
        <v>21</v>
      </c>
      <c r="Q319" s="169" t="s">
        <v>411</v>
      </c>
      <c r="R319" s="16" t="s">
        <v>58</v>
      </c>
      <c r="S319" s="18" t="s">
        <v>75</v>
      </c>
      <c r="T319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19" s="19" t="s">
        <v>76</v>
      </c>
      <c r="V319" s="20" t="s">
        <v>9</v>
      </c>
      <c r="W319" s="20"/>
      <c r="X319" s="18"/>
      <c r="Y319" s="18">
        <f>IF(DataTable[[#This Row],[explanation1]]="BL",1,IF(DataTable[[#This Row],[explanation2]]="BL",1,IF(DataTable[[#This Row],[explanation1]]="BR",1,IF(DataTable[[#This Row],[explanation2]]="BR",1,0))))</f>
        <v>0</v>
      </c>
      <c r="Z319" s="18">
        <f>IF(DataTable[[#This Row],[explanation1]]="BL",1,IF(DataTable[[#This Row],[explanation2]]="BL",1,0))</f>
        <v>0</v>
      </c>
      <c r="AA319" s="18">
        <f>IF(DataTable[[#This Row],[explanation1]]="WJ",1,IF(DataTable[[#This Row],[explanation2]]="WJ",1,0))</f>
        <v>0</v>
      </c>
      <c r="AB319" s="18">
        <f>IF(DataTable[[#This Row],[explanation1]]="U",1,IF(DataTable[[#This Row],[explanation2]]="U",1,0))</f>
        <v>0</v>
      </c>
      <c r="AC319" s="18">
        <f>IF(DataTable[[#This Row],[explanation1]]="O",1,IF(DataTable[[#This Row],[explanation2]]="O",1,0))</f>
        <v>1</v>
      </c>
      <c r="AD319" s="18">
        <f>IF(DataTable[[#This Row],[explanation1]]="TP",1,IF(DataTable[[#This Row],[explanation2]]="TP",1,0))</f>
        <v>0</v>
      </c>
      <c r="AE319" s="18">
        <f>IF(DataTable[[#This Row],[explanation1]]="WP",1,IF(DataTable[[#This Row],[explanation2]]="WP",1,0))</f>
        <v>0</v>
      </c>
      <c r="AF319" s="18">
        <f>IF(DataTable[[#This Row],[explanation1]]="BR",1,IF(DataTable[[#This Row],[explanation2]]="BR",1,0))</f>
        <v>0</v>
      </c>
      <c r="AG319" s="18">
        <f>IF(DataTable[[#This Row],[explanation1]]="LS",1,IF(DataTable[[#This Row],[explanation2]]="LS",1,0))</f>
        <v>0</v>
      </c>
      <c r="AH319" s="30" t="s">
        <v>9</v>
      </c>
    </row>
    <row r="320" spans="1:34" x14ac:dyDescent="0.2">
      <c r="A320" s="22">
        <v>318</v>
      </c>
      <c r="B320" s="23" t="s">
        <v>64</v>
      </c>
      <c r="C320" s="24" t="s">
        <v>74</v>
      </c>
      <c r="D320" s="25">
        <v>1</v>
      </c>
      <c r="E320" s="23" t="s">
        <v>46</v>
      </c>
      <c r="F320" s="25">
        <v>61</v>
      </c>
      <c r="G320" s="23" t="s">
        <v>64</v>
      </c>
      <c r="H320" s="24" t="s">
        <v>48</v>
      </c>
      <c r="I320" s="25" t="str">
        <f t="shared" si="4"/>
        <v>M1</v>
      </c>
      <c r="J320" s="23" t="s">
        <v>78</v>
      </c>
      <c r="K320" s="25" t="s">
        <v>49</v>
      </c>
      <c r="L320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320" s="24">
        <f>IF(DataTable[[#This Row],[3x head (H)/tail (T)?]]=DataTable[[#This Row],[then 4th: H/T/B/0]],1,0)</f>
        <v>0</v>
      </c>
      <c r="N320" s="24">
        <f>IF(DataTable[[#This Row],[then 4th: H/T/B/0]]="B",1,0)</f>
        <v>0</v>
      </c>
      <c r="O320" s="23" t="s">
        <v>327</v>
      </c>
      <c r="P320" s="24">
        <v>14</v>
      </c>
      <c r="Q320" s="168" t="s">
        <v>118</v>
      </c>
      <c r="R320" s="25" t="s">
        <v>58</v>
      </c>
      <c r="S320" s="27" t="s">
        <v>65</v>
      </c>
      <c r="T320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320" s="28" t="s">
        <v>329</v>
      </c>
      <c r="V320" s="29" t="s">
        <v>8</v>
      </c>
      <c r="W320" s="29"/>
      <c r="X320" s="27"/>
      <c r="Y320" s="27">
        <f>IF(DataTable[[#This Row],[explanation1]]="BL",1,IF(DataTable[[#This Row],[explanation2]]="BL",1,IF(DataTable[[#This Row],[explanation1]]="BR",1,IF(DataTable[[#This Row],[explanation2]]="BR",1,0))))</f>
        <v>0</v>
      </c>
      <c r="Z320" s="18">
        <f>IF(DataTable[[#This Row],[explanation1]]="BL",1,IF(DataTable[[#This Row],[explanation2]]="BL",1,0))</f>
        <v>0</v>
      </c>
      <c r="AA320" s="18">
        <f>IF(DataTable[[#This Row],[explanation1]]="WJ",1,IF(DataTable[[#This Row],[explanation2]]="WJ",1,0))</f>
        <v>0</v>
      </c>
      <c r="AB320" s="18">
        <f>IF(DataTable[[#This Row],[explanation1]]="U",1,IF(DataTable[[#This Row],[explanation2]]="U",1,0))</f>
        <v>1</v>
      </c>
      <c r="AC320" s="18">
        <f>IF(DataTable[[#This Row],[explanation1]]="O",1,IF(DataTable[[#This Row],[explanation2]]="O",1,0))</f>
        <v>0</v>
      </c>
      <c r="AD320" s="18">
        <f>IF(DataTable[[#This Row],[explanation1]]="TP",1,IF(DataTable[[#This Row],[explanation2]]="TP",1,0))</f>
        <v>0</v>
      </c>
      <c r="AE320" s="18">
        <f>IF(DataTable[[#This Row],[explanation1]]="WP",1,IF(DataTable[[#This Row],[explanation2]]="WP",1,0))</f>
        <v>0</v>
      </c>
      <c r="AF320" s="18">
        <f>IF(DataTable[[#This Row],[explanation1]]="BR",1,IF(DataTable[[#This Row],[explanation2]]="BR",1,0))</f>
        <v>0</v>
      </c>
      <c r="AG320" s="18">
        <f>IF(DataTable[[#This Row],[explanation1]]="LS",1,IF(DataTable[[#This Row],[explanation2]]="LS",1,0))</f>
        <v>0</v>
      </c>
      <c r="AH320" s="37" t="s">
        <v>8</v>
      </c>
    </row>
    <row r="321" spans="1:34" x14ac:dyDescent="0.2">
      <c r="A321" s="13">
        <v>319</v>
      </c>
      <c r="B321" s="14" t="s">
        <v>64</v>
      </c>
      <c r="C321" s="15" t="s">
        <v>74</v>
      </c>
      <c r="D321" s="16">
        <v>1</v>
      </c>
      <c r="E321" s="14" t="s">
        <v>46</v>
      </c>
      <c r="F321" s="16">
        <v>67</v>
      </c>
      <c r="G321" s="14" t="s">
        <v>47</v>
      </c>
      <c r="H321" s="15" t="s">
        <v>81</v>
      </c>
      <c r="I321" s="16" t="str">
        <f t="shared" si="4"/>
        <v>M1</v>
      </c>
      <c r="J321" s="14" t="s">
        <v>78</v>
      </c>
      <c r="K321" s="16" t="s">
        <v>78</v>
      </c>
      <c r="L321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21" s="15">
        <f>IF(DataTable[[#This Row],[3x head (H)/tail (T)?]]=DataTable[[#This Row],[then 4th: H/T/B/0]],1,0)</f>
        <v>1</v>
      </c>
      <c r="N321" s="15">
        <f>IF(DataTable[[#This Row],[then 4th: H/T/B/0]]="B",1,0)</f>
        <v>0</v>
      </c>
      <c r="O321" s="14" t="s">
        <v>327</v>
      </c>
      <c r="P321" s="15">
        <v>14</v>
      </c>
      <c r="Q321" s="169" t="s">
        <v>118</v>
      </c>
      <c r="R321" s="16" t="s">
        <v>58</v>
      </c>
      <c r="S321" s="18" t="s">
        <v>61</v>
      </c>
      <c r="T321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4</v>
      </c>
      <c r="U321" s="19" t="s">
        <v>173</v>
      </c>
      <c r="V321" s="20" t="s">
        <v>12</v>
      </c>
      <c r="W321" s="20"/>
      <c r="X321" s="18"/>
      <c r="Y321" s="18">
        <f>IF(DataTable[[#This Row],[explanation1]]="BL",1,IF(DataTable[[#This Row],[explanation2]]="BL",1,IF(DataTable[[#This Row],[explanation1]]="BR",1,IF(DataTable[[#This Row],[explanation2]]="BR",1,0))))</f>
        <v>1</v>
      </c>
      <c r="Z321" s="18">
        <f>IF(DataTable[[#This Row],[explanation1]]="BL",1,IF(DataTable[[#This Row],[explanation2]]="BL",1,0))</f>
        <v>0</v>
      </c>
      <c r="AA321" s="18">
        <f>IF(DataTable[[#This Row],[explanation1]]="WJ",1,IF(DataTable[[#This Row],[explanation2]]="WJ",1,0))</f>
        <v>0</v>
      </c>
      <c r="AB321" s="18">
        <f>IF(DataTable[[#This Row],[explanation1]]="U",1,IF(DataTable[[#This Row],[explanation2]]="U",1,0))</f>
        <v>0</v>
      </c>
      <c r="AC321" s="18">
        <f>IF(DataTable[[#This Row],[explanation1]]="O",1,IF(DataTable[[#This Row],[explanation2]]="O",1,0))</f>
        <v>0</v>
      </c>
      <c r="AD321" s="18">
        <f>IF(DataTable[[#This Row],[explanation1]]="TP",1,IF(DataTable[[#This Row],[explanation2]]="TP",1,0))</f>
        <v>0</v>
      </c>
      <c r="AE321" s="18">
        <f>IF(DataTable[[#This Row],[explanation1]]="WP",1,IF(DataTable[[#This Row],[explanation2]]="WP",1,0))</f>
        <v>0</v>
      </c>
      <c r="AF321" s="18">
        <f>IF(DataTable[[#This Row],[explanation1]]="BR",1,IF(DataTable[[#This Row],[explanation2]]="BR",1,0))</f>
        <v>1</v>
      </c>
      <c r="AG321" s="18">
        <f>IF(DataTable[[#This Row],[explanation1]]="LS",1,IF(DataTable[[#This Row],[explanation2]]="LS",1,0))</f>
        <v>0</v>
      </c>
      <c r="AH321" s="30" t="s">
        <v>12</v>
      </c>
    </row>
    <row r="322" spans="1:34" x14ac:dyDescent="0.2">
      <c r="A322" s="22">
        <v>320</v>
      </c>
      <c r="B322" s="23" t="s">
        <v>64</v>
      </c>
      <c r="C322" s="24" t="s">
        <v>74</v>
      </c>
      <c r="D322" s="25">
        <v>1</v>
      </c>
      <c r="E322" s="23" t="s">
        <v>46</v>
      </c>
      <c r="F322" s="25">
        <v>22</v>
      </c>
      <c r="G322" s="23" t="s">
        <v>64</v>
      </c>
      <c r="H322" s="24" t="s">
        <v>48</v>
      </c>
      <c r="I322" s="25" t="str">
        <f t="shared" si="4"/>
        <v>M1</v>
      </c>
      <c r="J322" s="23" t="s">
        <v>49</v>
      </c>
      <c r="K322" s="25" t="s">
        <v>50</v>
      </c>
      <c r="L322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22" s="24">
        <f>IF(DataTable[[#This Row],[3x head (H)/tail (T)?]]=DataTable[[#This Row],[then 4th: H/T/B/0]],1,0)</f>
        <v>0</v>
      </c>
      <c r="N322" s="24">
        <f>IF(DataTable[[#This Row],[then 4th: H/T/B/0]]="B",1,0)</f>
        <v>1</v>
      </c>
      <c r="O322" s="23" t="s">
        <v>327</v>
      </c>
      <c r="P322" s="24">
        <v>14</v>
      </c>
      <c r="Q322" s="168" t="s">
        <v>118</v>
      </c>
      <c r="R322" s="25" t="s">
        <v>58</v>
      </c>
      <c r="S322" s="27" t="s">
        <v>75</v>
      </c>
      <c r="T322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22" s="28" t="s">
        <v>76</v>
      </c>
      <c r="V322" s="29" t="s">
        <v>9</v>
      </c>
      <c r="W322" s="29"/>
      <c r="X322" s="27"/>
      <c r="Y322" s="27">
        <f>IF(DataTable[[#This Row],[explanation1]]="BL",1,IF(DataTable[[#This Row],[explanation2]]="BL",1,IF(DataTable[[#This Row],[explanation1]]="BR",1,IF(DataTable[[#This Row],[explanation2]]="BR",1,0))))</f>
        <v>0</v>
      </c>
      <c r="Z322" s="18">
        <f>IF(DataTable[[#This Row],[explanation1]]="BL",1,IF(DataTable[[#This Row],[explanation2]]="BL",1,0))</f>
        <v>0</v>
      </c>
      <c r="AA322" s="18">
        <f>IF(DataTable[[#This Row],[explanation1]]="WJ",1,IF(DataTable[[#This Row],[explanation2]]="WJ",1,0))</f>
        <v>0</v>
      </c>
      <c r="AB322" s="18">
        <f>IF(DataTable[[#This Row],[explanation1]]="U",1,IF(DataTable[[#This Row],[explanation2]]="U",1,0))</f>
        <v>0</v>
      </c>
      <c r="AC322" s="18">
        <f>IF(DataTable[[#This Row],[explanation1]]="O",1,IF(DataTable[[#This Row],[explanation2]]="O",1,0))</f>
        <v>1</v>
      </c>
      <c r="AD322" s="18">
        <f>IF(DataTable[[#This Row],[explanation1]]="TP",1,IF(DataTable[[#This Row],[explanation2]]="TP",1,0))</f>
        <v>0</v>
      </c>
      <c r="AE322" s="18">
        <f>IF(DataTable[[#This Row],[explanation1]]="WP",1,IF(DataTable[[#This Row],[explanation2]]="WP",1,0))</f>
        <v>0</v>
      </c>
      <c r="AF322" s="18">
        <f>IF(DataTable[[#This Row],[explanation1]]="BR",1,IF(DataTable[[#This Row],[explanation2]]="BR",1,0))</f>
        <v>0</v>
      </c>
      <c r="AG322" s="18">
        <f>IF(DataTable[[#This Row],[explanation1]]="LS",1,IF(DataTable[[#This Row],[explanation2]]="LS",1,0))</f>
        <v>0</v>
      </c>
      <c r="AH322" s="37" t="s">
        <v>9</v>
      </c>
    </row>
    <row r="323" spans="1:34" x14ac:dyDescent="0.2">
      <c r="A323" s="13">
        <v>321</v>
      </c>
      <c r="B323" s="14" t="s">
        <v>64</v>
      </c>
      <c r="C323" s="15" t="s">
        <v>74</v>
      </c>
      <c r="D323" s="16">
        <v>1</v>
      </c>
      <c r="E323" s="14" t="s">
        <v>58</v>
      </c>
      <c r="F323" s="16">
        <v>36</v>
      </c>
      <c r="G323" s="14" t="s">
        <v>47</v>
      </c>
      <c r="H323" s="15" t="s">
        <v>48</v>
      </c>
      <c r="I323" s="16" t="str">
        <f t="shared" ref="I323:I386" si="5">IF(H323="NIE",G323,IF(G323="R",B323,"R"))</f>
        <v>R</v>
      </c>
      <c r="J323" s="14" t="s">
        <v>49</v>
      </c>
      <c r="K323" s="16" t="s">
        <v>78</v>
      </c>
      <c r="L323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323" s="15">
        <f>IF(DataTable[[#This Row],[3x head (H)/tail (T)?]]=DataTable[[#This Row],[then 4th: H/T/B/0]],1,0)</f>
        <v>0</v>
      </c>
      <c r="N323" s="15">
        <f>IF(DataTable[[#This Row],[then 4th: H/T/B/0]]="B",1,0)</f>
        <v>0</v>
      </c>
      <c r="O323" s="14" t="s">
        <v>327</v>
      </c>
      <c r="P323" s="15">
        <v>14</v>
      </c>
      <c r="Q323" s="169" t="s">
        <v>118</v>
      </c>
      <c r="R323" s="16" t="s">
        <v>58</v>
      </c>
      <c r="S323" s="18" t="s">
        <v>54</v>
      </c>
      <c r="T323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323" s="19" t="s">
        <v>88</v>
      </c>
      <c r="V323" s="20" t="s">
        <v>9</v>
      </c>
      <c r="W323" s="20"/>
      <c r="X323" s="18"/>
      <c r="Y323" s="18">
        <f>IF(DataTable[[#This Row],[explanation1]]="BL",1,IF(DataTable[[#This Row],[explanation2]]="BL",1,IF(DataTable[[#This Row],[explanation1]]="BR",1,IF(DataTable[[#This Row],[explanation2]]="BR",1,0))))</f>
        <v>0</v>
      </c>
      <c r="Z323" s="18">
        <f>IF(DataTable[[#This Row],[explanation1]]="BL",1,IF(DataTable[[#This Row],[explanation2]]="BL",1,0))</f>
        <v>0</v>
      </c>
      <c r="AA323" s="18">
        <f>IF(DataTable[[#This Row],[explanation1]]="WJ",1,IF(DataTable[[#This Row],[explanation2]]="WJ",1,0))</f>
        <v>0</v>
      </c>
      <c r="AB323" s="18">
        <f>IF(DataTable[[#This Row],[explanation1]]="U",1,IF(DataTable[[#This Row],[explanation2]]="U",1,0))</f>
        <v>0</v>
      </c>
      <c r="AC323" s="18">
        <f>IF(DataTable[[#This Row],[explanation1]]="O",1,IF(DataTable[[#This Row],[explanation2]]="O",1,0))</f>
        <v>1</v>
      </c>
      <c r="AD323" s="18">
        <f>IF(DataTable[[#This Row],[explanation1]]="TP",1,IF(DataTable[[#This Row],[explanation2]]="TP",1,0))</f>
        <v>0</v>
      </c>
      <c r="AE323" s="18">
        <f>IF(DataTable[[#This Row],[explanation1]]="WP",1,IF(DataTable[[#This Row],[explanation2]]="WP",1,0))</f>
        <v>0</v>
      </c>
      <c r="AF323" s="18">
        <f>IF(DataTable[[#This Row],[explanation1]]="BR",1,IF(DataTable[[#This Row],[explanation2]]="BR",1,0))</f>
        <v>0</v>
      </c>
      <c r="AG323" s="18">
        <f>IF(DataTable[[#This Row],[explanation1]]="LS",1,IF(DataTable[[#This Row],[explanation2]]="LS",1,0))</f>
        <v>0</v>
      </c>
      <c r="AH323" s="30" t="s">
        <v>9</v>
      </c>
    </row>
    <row r="324" spans="1:34" x14ac:dyDescent="0.2">
      <c r="A324" s="22">
        <v>322</v>
      </c>
      <c r="B324" s="23" t="s">
        <v>64</v>
      </c>
      <c r="C324" s="24" t="s">
        <v>74</v>
      </c>
      <c r="D324" s="25">
        <v>50</v>
      </c>
      <c r="E324" s="23" t="s">
        <v>46</v>
      </c>
      <c r="F324" s="25">
        <v>19</v>
      </c>
      <c r="G324" s="23" t="s">
        <v>47</v>
      </c>
      <c r="H324" s="24" t="s">
        <v>81</v>
      </c>
      <c r="I324" s="25" t="str">
        <f t="shared" si="5"/>
        <v>M1</v>
      </c>
      <c r="J324" s="23" t="s">
        <v>78</v>
      </c>
      <c r="K324" s="25" t="s">
        <v>50</v>
      </c>
      <c r="L324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24" s="24">
        <f>IF(DataTable[[#This Row],[3x head (H)/tail (T)?]]=DataTable[[#This Row],[then 4th: H/T/B/0]],1,0)</f>
        <v>0</v>
      </c>
      <c r="N324" s="24">
        <f>IF(DataTable[[#This Row],[then 4th: H/T/B/0]]="B",1,0)</f>
        <v>1</v>
      </c>
      <c r="O324" s="23" t="s">
        <v>327</v>
      </c>
      <c r="P324" s="24">
        <v>14</v>
      </c>
      <c r="Q324" s="168" t="s">
        <v>71</v>
      </c>
      <c r="R324" s="25" t="s">
        <v>58</v>
      </c>
      <c r="S324" s="27" t="s">
        <v>75</v>
      </c>
      <c r="T324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24" s="28" t="s">
        <v>328</v>
      </c>
      <c r="V324" s="29" t="s">
        <v>6</v>
      </c>
      <c r="W324" s="29"/>
      <c r="X324" s="27"/>
      <c r="Y324" s="27">
        <f>IF(DataTable[[#This Row],[explanation1]]="BL",1,IF(DataTable[[#This Row],[explanation2]]="BL",1,IF(DataTable[[#This Row],[explanation1]]="BR",1,IF(DataTable[[#This Row],[explanation2]]="BR",1,0))))</f>
        <v>1</v>
      </c>
      <c r="Z324" s="18">
        <f>IF(DataTable[[#This Row],[explanation1]]="BL",1,IF(DataTable[[#This Row],[explanation2]]="BL",1,0))</f>
        <v>1</v>
      </c>
      <c r="AA324" s="18">
        <f>IF(DataTable[[#This Row],[explanation1]]="WJ",1,IF(DataTable[[#This Row],[explanation2]]="WJ",1,0))</f>
        <v>0</v>
      </c>
      <c r="AB324" s="18">
        <f>IF(DataTable[[#This Row],[explanation1]]="U",1,IF(DataTable[[#This Row],[explanation2]]="U",1,0))</f>
        <v>0</v>
      </c>
      <c r="AC324" s="18">
        <f>IF(DataTable[[#This Row],[explanation1]]="O",1,IF(DataTable[[#This Row],[explanation2]]="O",1,0))</f>
        <v>0</v>
      </c>
      <c r="AD324" s="18">
        <f>IF(DataTable[[#This Row],[explanation1]]="TP",1,IF(DataTable[[#This Row],[explanation2]]="TP",1,0))</f>
        <v>0</v>
      </c>
      <c r="AE324" s="18">
        <f>IF(DataTable[[#This Row],[explanation1]]="WP",1,IF(DataTable[[#This Row],[explanation2]]="WP",1,0))</f>
        <v>0</v>
      </c>
      <c r="AF324" s="18">
        <f>IF(DataTable[[#This Row],[explanation1]]="BR",1,IF(DataTable[[#This Row],[explanation2]]="BR",1,0))</f>
        <v>0</v>
      </c>
      <c r="AG324" s="18">
        <f>IF(DataTable[[#This Row],[explanation1]]="LS",1,IF(DataTable[[#This Row],[explanation2]]="LS",1,0))</f>
        <v>0</v>
      </c>
      <c r="AH324" s="37" t="s">
        <v>6</v>
      </c>
    </row>
    <row r="325" spans="1:34" x14ac:dyDescent="0.2">
      <c r="A325" s="13">
        <v>323</v>
      </c>
      <c r="B325" s="14" t="s">
        <v>64</v>
      </c>
      <c r="C325" s="15" t="s">
        <v>74</v>
      </c>
      <c r="D325" s="16">
        <v>50</v>
      </c>
      <c r="E325" s="14" t="s">
        <v>46</v>
      </c>
      <c r="F325" s="16">
        <v>29</v>
      </c>
      <c r="G325" s="14" t="s">
        <v>47</v>
      </c>
      <c r="H325" s="15" t="s">
        <v>81</v>
      </c>
      <c r="I325" s="16" t="str">
        <f t="shared" si="5"/>
        <v>M1</v>
      </c>
      <c r="J325" s="14" t="s">
        <v>78</v>
      </c>
      <c r="K325" s="16" t="s">
        <v>50</v>
      </c>
      <c r="L325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25" s="15">
        <f>IF(DataTable[[#This Row],[3x head (H)/tail (T)?]]=DataTable[[#This Row],[then 4th: H/T/B/0]],1,0)</f>
        <v>0</v>
      </c>
      <c r="N325" s="15">
        <f>IF(DataTable[[#This Row],[then 4th: H/T/B/0]]="B",1,0)</f>
        <v>1</v>
      </c>
      <c r="O325" s="14" t="s">
        <v>335</v>
      </c>
      <c r="P325" s="15">
        <v>14</v>
      </c>
      <c r="Q325" s="169" t="s">
        <v>118</v>
      </c>
      <c r="R325" s="16" t="s">
        <v>58</v>
      </c>
      <c r="S325" s="18" t="s">
        <v>65</v>
      </c>
      <c r="T325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325" s="19" t="s">
        <v>329</v>
      </c>
      <c r="V325" s="20" t="s">
        <v>6</v>
      </c>
      <c r="W325" s="20"/>
      <c r="X325" s="18"/>
      <c r="Y325" s="18">
        <f>IF(DataTable[[#This Row],[explanation1]]="BL",1,IF(DataTable[[#This Row],[explanation2]]="BL",1,IF(DataTable[[#This Row],[explanation1]]="BR",1,IF(DataTable[[#This Row],[explanation2]]="BR",1,0))))</f>
        <v>1</v>
      </c>
      <c r="Z325" s="18">
        <f>IF(DataTable[[#This Row],[explanation1]]="BL",1,IF(DataTable[[#This Row],[explanation2]]="BL",1,0))</f>
        <v>1</v>
      </c>
      <c r="AA325" s="18">
        <f>IF(DataTable[[#This Row],[explanation1]]="WJ",1,IF(DataTable[[#This Row],[explanation2]]="WJ",1,0))</f>
        <v>0</v>
      </c>
      <c r="AB325" s="18">
        <f>IF(DataTable[[#This Row],[explanation1]]="U",1,IF(DataTable[[#This Row],[explanation2]]="U",1,0))</f>
        <v>0</v>
      </c>
      <c r="AC325" s="18">
        <f>IF(DataTable[[#This Row],[explanation1]]="O",1,IF(DataTable[[#This Row],[explanation2]]="O",1,0))</f>
        <v>0</v>
      </c>
      <c r="AD325" s="18">
        <f>IF(DataTable[[#This Row],[explanation1]]="TP",1,IF(DataTable[[#This Row],[explanation2]]="TP",1,0))</f>
        <v>0</v>
      </c>
      <c r="AE325" s="18">
        <f>IF(DataTable[[#This Row],[explanation1]]="WP",1,IF(DataTable[[#This Row],[explanation2]]="WP",1,0))</f>
        <v>0</v>
      </c>
      <c r="AF325" s="18">
        <f>IF(DataTable[[#This Row],[explanation1]]="BR",1,IF(DataTable[[#This Row],[explanation2]]="BR",1,0))</f>
        <v>0</v>
      </c>
      <c r="AG325" s="18">
        <f>IF(DataTable[[#This Row],[explanation1]]="LS",1,IF(DataTable[[#This Row],[explanation2]]="LS",1,0))</f>
        <v>0</v>
      </c>
      <c r="AH325" s="30" t="s">
        <v>6</v>
      </c>
    </row>
    <row r="326" spans="1:34" x14ac:dyDescent="0.2">
      <c r="A326" s="22">
        <v>324</v>
      </c>
      <c r="B326" s="23" t="s">
        <v>64</v>
      </c>
      <c r="C326" s="24" t="s">
        <v>74</v>
      </c>
      <c r="D326" s="25">
        <v>50</v>
      </c>
      <c r="E326" s="23" t="s">
        <v>58</v>
      </c>
      <c r="F326" s="25">
        <v>60</v>
      </c>
      <c r="G326" s="23" t="s">
        <v>47</v>
      </c>
      <c r="H326" s="24" t="s">
        <v>48</v>
      </c>
      <c r="I326" s="25" t="str">
        <f t="shared" si="5"/>
        <v>R</v>
      </c>
      <c r="J326" s="23" t="s">
        <v>49</v>
      </c>
      <c r="K326" s="25" t="s">
        <v>78</v>
      </c>
      <c r="L326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326" s="24">
        <f>IF(DataTable[[#This Row],[3x head (H)/tail (T)?]]=DataTable[[#This Row],[then 4th: H/T/B/0]],1,0)</f>
        <v>0</v>
      </c>
      <c r="N326" s="24">
        <f>IF(DataTable[[#This Row],[then 4th: H/T/B/0]]="B",1,0)</f>
        <v>0</v>
      </c>
      <c r="O326" s="23" t="s">
        <v>335</v>
      </c>
      <c r="P326" s="24">
        <v>14</v>
      </c>
      <c r="Q326" s="168" t="s">
        <v>118</v>
      </c>
      <c r="R326" s="25" t="s">
        <v>58</v>
      </c>
      <c r="S326" s="27" t="s">
        <v>65</v>
      </c>
      <c r="T326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326" s="28" t="s">
        <v>345</v>
      </c>
      <c r="V326" s="29" t="s">
        <v>6</v>
      </c>
      <c r="W326" s="29"/>
      <c r="X326" s="27"/>
      <c r="Y326" s="27">
        <f>IF(DataTable[[#This Row],[explanation1]]="BL",1,IF(DataTable[[#This Row],[explanation2]]="BL",1,IF(DataTable[[#This Row],[explanation1]]="BR",1,IF(DataTable[[#This Row],[explanation2]]="BR",1,0))))</f>
        <v>1</v>
      </c>
      <c r="Z326" s="18">
        <f>IF(DataTable[[#This Row],[explanation1]]="BL",1,IF(DataTable[[#This Row],[explanation2]]="BL",1,0))</f>
        <v>1</v>
      </c>
      <c r="AA326" s="18">
        <f>IF(DataTable[[#This Row],[explanation1]]="WJ",1,IF(DataTable[[#This Row],[explanation2]]="WJ",1,0))</f>
        <v>0</v>
      </c>
      <c r="AB326" s="18">
        <f>IF(DataTable[[#This Row],[explanation1]]="U",1,IF(DataTable[[#This Row],[explanation2]]="U",1,0))</f>
        <v>0</v>
      </c>
      <c r="AC326" s="18">
        <f>IF(DataTable[[#This Row],[explanation1]]="O",1,IF(DataTable[[#This Row],[explanation2]]="O",1,0))</f>
        <v>0</v>
      </c>
      <c r="AD326" s="18">
        <f>IF(DataTable[[#This Row],[explanation1]]="TP",1,IF(DataTable[[#This Row],[explanation2]]="TP",1,0))</f>
        <v>0</v>
      </c>
      <c r="AE326" s="18">
        <f>IF(DataTable[[#This Row],[explanation1]]="WP",1,IF(DataTable[[#This Row],[explanation2]]="WP",1,0))</f>
        <v>0</v>
      </c>
      <c r="AF326" s="18">
        <f>IF(DataTable[[#This Row],[explanation1]]="BR",1,IF(DataTable[[#This Row],[explanation2]]="BR",1,0))</f>
        <v>0</v>
      </c>
      <c r="AG326" s="18">
        <f>IF(DataTable[[#This Row],[explanation1]]="LS",1,IF(DataTable[[#This Row],[explanation2]]="LS",1,0))</f>
        <v>0</v>
      </c>
      <c r="AH326" s="37" t="s">
        <v>6</v>
      </c>
    </row>
    <row r="327" spans="1:34" x14ac:dyDescent="0.2">
      <c r="A327" s="13">
        <v>325</v>
      </c>
      <c r="B327" s="14" t="s">
        <v>64</v>
      </c>
      <c r="C327" s="15" t="s">
        <v>74</v>
      </c>
      <c r="D327" s="16">
        <v>50</v>
      </c>
      <c r="E327" s="14" t="s">
        <v>58</v>
      </c>
      <c r="F327" s="16">
        <v>65</v>
      </c>
      <c r="G327" s="14" t="s">
        <v>47</v>
      </c>
      <c r="H327" s="15" t="s">
        <v>48</v>
      </c>
      <c r="I327" s="16" t="str">
        <f t="shared" si="5"/>
        <v>R</v>
      </c>
      <c r="J327" s="14" t="s">
        <v>49</v>
      </c>
      <c r="K327" s="16" t="s">
        <v>49</v>
      </c>
      <c r="L327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27" s="15">
        <f>IF(DataTable[[#This Row],[3x head (H)/tail (T)?]]=DataTable[[#This Row],[then 4th: H/T/B/0]],1,0)</f>
        <v>1</v>
      </c>
      <c r="N327" s="15">
        <f>IF(DataTable[[#This Row],[then 4th: H/T/B/0]]="B",1,0)</f>
        <v>0</v>
      </c>
      <c r="O327" s="14" t="s">
        <v>335</v>
      </c>
      <c r="P327" s="15">
        <v>14</v>
      </c>
      <c r="Q327" s="169" t="s">
        <v>118</v>
      </c>
      <c r="R327" s="16" t="s">
        <v>58</v>
      </c>
      <c r="S327" s="18" t="s">
        <v>103</v>
      </c>
      <c r="T327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5</v>
      </c>
      <c r="U327" s="19" t="s">
        <v>346</v>
      </c>
      <c r="V327" s="20" t="s">
        <v>6</v>
      </c>
      <c r="W327" s="20"/>
      <c r="X327" s="18"/>
      <c r="Y327" s="18">
        <f>IF(DataTable[[#This Row],[explanation1]]="BL",1,IF(DataTable[[#This Row],[explanation2]]="BL",1,IF(DataTable[[#This Row],[explanation1]]="BR",1,IF(DataTable[[#This Row],[explanation2]]="BR",1,0))))</f>
        <v>1</v>
      </c>
      <c r="Z327" s="18">
        <f>IF(DataTable[[#This Row],[explanation1]]="BL",1,IF(DataTable[[#This Row],[explanation2]]="BL",1,0))</f>
        <v>1</v>
      </c>
      <c r="AA327" s="18">
        <f>IF(DataTable[[#This Row],[explanation1]]="WJ",1,IF(DataTable[[#This Row],[explanation2]]="WJ",1,0))</f>
        <v>0</v>
      </c>
      <c r="AB327" s="18">
        <f>IF(DataTable[[#This Row],[explanation1]]="U",1,IF(DataTable[[#This Row],[explanation2]]="U",1,0))</f>
        <v>0</v>
      </c>
      <c r="AC327" s="18">
        <f>IF(DataTable[[#This Row],[explanation1]]="O",1,IF(DataTable[[#This Row],[explanation2]]="O",1,0))</f>
        <v>0</v>
      </c>
      <c r="AD327" s="18">
        <f>IF(DataTable[[#This Row],[explanation1]]="TP",1,IF(DataTable[[#This Row],[explanation2]]="TP",1,0))</f>
        <v>0</v>
      </c>
      <c r="AE327" s="18">
        <f>IF(DataTable[[#This Row],[explanation1]]="WP",1,IF(DataTable[[#This Row],[explanation2]]="WP",1,0))</f>
        <v>0</v>
      </c>
      <c r="AF327" s="18">
        <f>IF(DataTable[[#This Row],[explanation1]]="BR",1,IF(DataTable[[#This Row],[explanation2]]="BR",1,0))</f>
        <v>0</v>
      </c>
      <c r="AG327" s="18">
        <f>IF(DataTable[[#This Row],[explanation1]]="LS",1,IF(DataTable[[#This Row],[explanation2]]="LS",1,0))</f>
        <v>0</v>
      </c>
      <c r="AH327" s="30" t="s">
        <v>6</v>
      </c>
    </row>
    <row r="328" spans="1:34" x14ac:dyDescent="0.2">
      <c r="A328" s="22">
        <v>326</v>
      </c>
      <c r="B328" s="23" t="s">
        <v>64</v>
      </c>
      <c r="C328" s="24" t="s">
        <v>74</v>
      </c>
      <c r="D328" s="25">
        <v>50</v>
      </c>
      <c r="E328" s="23" t="s">
        <v>46</v>
      </c>
      <c r="F328" s="25">
        <v>21</v>
      </c>
      <c r="G328" s="23" t="s">
        <v>47</v>
      </c>
      <c r="H328" s="24" t="s">
        <v>48</v>
      </c>
      <c r="I328" s="25" t="str">
        <f t="shared" si="5"/>
        <v>R</v>
      </c>
      <c r="J328" s="23" t="s">
        <v>49</v>
      </c>
      <c r="K328" s="25" t="s">
        <v>50</v>
      </c>
      <c r="L328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28" s="24">
        <f>IF(DataTable[[#This Row],[3x head (H)/tail (T)?]]=DataTable[[#This Row],[then 4th: H/T/B/0]],1,0)</f>
        <v>0</v>
      </c>
      <c r="N328" s="24">
        <f>IF(DataTable[[#This Row],[then 4th: H/T/B/0]]="B",1,0)</f>
        <v>1</v>
      </c>
      <c r="O328" s="23" t="s">
        <v>331</v>
      </c>
      <c r="P328" s="24">
        <v>21</v>
      </c>
      <c r="Q328" s="168" t="s">
        <v>71</v>
      </c>
      <c r="R328" s="25" t="s">
        <v>58</v>
      </c>
      <c r="S328" s="27" t="s">
        <v>75</v>
      </c>
      <c r="T328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28" s="28" t="s">
        <v>76</v>
      </c>
      <c r="V328" s="29" t="s">
        <v>9</v>
      </c>
      <c r="W328" s="29"/>
      <c r="X328" s="27"/>
      <c r="Y328" s="27">
        <f>IF(DataTable[[#This Row],[explanation1]]="BL",1,IF(DataTable[[#This Row],[explanation2]]="BL",1,IF(DataTable[[#This Row],[explanation1]]="BR",1,IF(DataTable[[#This Row],[explanation2]]="BR",1,0))))</f>
        <v>0</v>
      </c>
      <c r="Z328" s="18">
        <f>IF(DataTable[[#This Row],[explanation1]]="BL",1,IF(DataTable[[#This Row],[explanation2]]="BL",1,0))</f>
        <v>0</v>
      </c>
      <c r="AA328" s="18">
        <f>IF(DataTable[[#This Row],[explanation1]]="WJ",1,IF(DataTable[[#This Row],[explanation2]]="WJ",1,0))</f>
        <v>0</v>
      </c>
      <c r="AB328" s="18">
        <f>IF(DataTable[[#This Row],[explanation1]]="U",1,IF(DataTable[[#This Row],[explanation2]]="U",1,0))</f>
        <v>0</v>
      </c>
      <c r="AC328" s="18">
        <f>IF(DataTable[[#This Row],[explanation1]]="O",1,IF(DataTable[[#This Row],[explanation2]]="O",1,0))</f>
        <v>1</v>
      </c>
      <c r="AD328" s="18">
        <f>IF(DataTable[[#This Row],[explanation1]]="TP",1,IF(DataTable[[#This Row],[explanation2]]="TP",1,0))</f>
        <v>0</v>
      </c>
      <c r="AE328" s="18">
        <f>IF(DataTable[[#This Row],[explanation1]]="WP",1,IF(DataTable[[#This Row],[explanation2]]="WP",1,0))</f>
        <v>0</v>
      </c>
      <c r="AF328" s="18">
        <f>IF(DataTable[[#This Row],[explanation1]]="BR",1,IF(DataTable[[#This Row],[explanation2]]="BR",1,0))</f>
        <v>0</v>
      </c>
      <c r="AG328" s="18">
        <f>IF(DataTable[[#This Row],[explanation1]]="LS",1,IF(DataTable[[#This Row],[explanation2]]="LS",1,0))</f>
        <v>0</v>
      </c>
      <c r="AH328" s="37" t="s">
        <v>9</v>
      </c>
    </row>
    <row r="329" spans="1:34" x14ac:dyDescent="0.2">
      <c r="A329" s="13">
        <v>327</v>
      </c>
      <c r="B329" s="14" t="s">
        <v>64</v>
      </c>
      <c r="C329" s="15" t="s">
        <v>45</v>
      </c>
      <c r="D329" s="16">
        <v>1</v>
      </c>
      <c r="E329" s="14" t="s">
        <v>58</v>
      </c>
      <c r="F329" s="16">
        <v>60</v>
      </c>
      <c r="G329" s="14" t="s">
        <v>47</v>
      </c>
      <c r="H329" s="15" t="s">
        <v>48</v>
      </c>
      <c r="I329" s="16" t="str">
        <f t="shared" si="5"/>
        <v>R</v>
      </c>
      <c r="J329" s="14" t="s">
        <v>49</v>
      </c>
      <c r="K329" s="16" t="s">
        <v>49</v>
      </c>
      <c r="L329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29" s="15">
        <f>IF(DataTable[[#This Row],[3x head (H)/tail (T)?]]=DataTable[[#This Row],[then 4th: H/T/B/0]],1,0)</f>
        <v>1</v>
      </c>
      <c r="N329" s="15">
        <f>IF(DataTable[[#This Row],[then 4th: H/T/B/0]]="B",1,0)</f>
        <v>0</v>
      </c>
      <c r="O329" s="14" t="s">
        <v>335</v>
      </c>
      <c r="P329" s="15">
        <v>14</v>
      </c>
      <c r="Q329" s="169" t="s">
        <v>118</v>
      </c>
      <c r="R329" s="16" t="s">
        <v>58</v>
      </c>
      <c r="S329" s="18" t="s">
        <v>54</v>
      </c>
      <c r="T329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329" s="19" t="s">
        <v>88</v>
      </c>
      <c r="V329" s="20" t="s">
        <v>9</v>
      </c>
      <c r="W329" s="20"/>
      <c r="X329" s="18"/>
      <c r="Y329" s="18">
        <f>IF(DataTable[[#This Row],[explanation1]]="BL",1,IF(DataTable[[#This Row],[explanation2]]="BL",1,IF(DataTable[[#This Row],[explanation1]]="BR",1,IF(DataTable[[#This Row],[explanation2]]="BR",1,0))))</f>
        <v>0</v>
      </c>
      <c r="Z329" s="18">
        <f>IF(DataTable[[#This Row],[explanation1]]="BL",1,IF(DataTable[[#This Row],[explanation2]]="BL",1,0))</f>
        <v>0</v>
      </c>
      <c r="AA329" s="18">
        <f>IF(DataTable[[#This Row],[explanation1]]="WJ",1,IF(DataTable[[#This Row],[explanation2]]="WJ",1,0))</f>
        <v>0</v>
      </c>
      <c r="AB329" s="18">
        <f>IF(DataTable[[#This Row],[explanation1]]="U",1,IF(DataTable[[#This Row],[explanation2]]="U",1,0))</f>
        <v>0</v>
      </c>
      <c r="AC329" s="18">
        <f>IF(DataTable[[#This Row],[explanation1]]="O",1,IF(DataTable[[#This Row],[explanation2]]="O",1,0))</f>
        <v>1</v>
      </c>
      <c r="AD329" s="18">
        <f>IF(DataTable[[#This Row],[explanation1]]="TP",1,IF(DataTable[[#This Row],[explanation2]]="TP",1,0))</f>
        <v>0</v>
      </c>
      <c r="AE329" s="18">
        <f>IF(DataTable[[#This Row],[explanation1]]="WP",1,IF(DataTable[[#This Row],[explanation2]]="WP",1,0))</f>
        <v>0</v>
      </c>
      <c r="AF329" s="18">
        <f>IF(DataTable[[#This Row],[explanation1]]="BR",1,IF(DataTable[[#This Row],[explanation2]]="BR",1,0))</f>
        <v>0</v>
      </c>
      <c r="AG329" s="18">
        <f>IF(DataTable[[#This Row],[explanation1]]="LS",1,IF(DataTable[[#This Row],[explanation2]]="LS",1,0))</f>
        <v>0</v>
      </c>
      <c r="AH329" s="30" t="s">
        <v>9</v>
      </c>
    </row>
    <row r="330" spans="1:34" x14ac:dyDescent="0.2">
      <c r="A330" s="22">
        <v>328</v>
      </c>
      <c r="B330" s="23" t="s">
        <v>64</v>
      </c>
      <c r="C330" s="24" t="s">
        <v>45</v>
      </c>
      <c r="D330" s="25">
        <v>1</v>
      </c>
      <c r="E330" s="23" t="s">
        <v>58</v>
      </c>
      <c r="F330" s="25">
        <v>62</v>
      </c>
      <c r="G330" s="23" t="s">
        <v>47</v>
      </c>
      <c r="H330" s="24" t="s">
        <v>48</v>
      </c>
      <c r="I330" s="25" t="str">
        <f t="shared" si="5"/>
        <v>R</v>
      </c>
      <c r="J330" s="23" t="s">
        <v>78</v>
      </c>
      <c r="K330" s="25" t="s">
        <v>78</v>
      </c>
      <c r="L330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30" s="24">
        <f>IF(DataTable[[#This Row],[3x head (H)/tail (T)?]]=DataTable[[#This Row],[then 4th: H/T/B/0]],1,0)</f>
        <v>1</v>
      </c>
      <c r="N330" s="24">
        <f>IF(DataTable[[#This Row],[then 4th: H/T/B/0]]="B",1,0)</f>
        <v>0</v>
      </c>
      <c r="O330" s="23" t="s">
        <v>331</v>
      </c>
      <c r="P330" s="24">
        <v>21</v>
      </c>
      <c r="Q330" s="168" t="s">
        <v>411</v>
      </c>
      <c r="R330" s="25" t="s">
        <v>58</v>
      </c>
      <c r="S330" s="27" t="s">
        <v>61</v>
      </c>
      <c r="T330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4</v>
      </c>
      <c r="U330" s="28" t="s">
        <v>173</v>
      </c>
      <c r="V330" s="29" t="s">
        <v>9</v>
      </c>
      <c r="W330" s="29"/>
      <c r="X330" s="27"/>
      <c r="Y330" s="27">
        <f>IF(DataTable[[#This Row],[explanation1]]="BL",1,IF(DataTable[[#This Row],[explanation2]]="BL",1,IF(DataTable[[#This Row],[explanation1]]="BR",1,IF(DataTable[[#This Row],[explanation2]]="BR",1,0))))</f>
        <v>0</v>
      </c>
      <c r="Z330" s="18">
        <f>IF(DataTable[[#This Row],[explanation1]]="BL",1,IF(DataTable[[#This Row],[explanation2]]="BL",1,0))</f>
        <v>0</v>
      </c>
      <c r="AA330" s="18">
        <f>IF(DataTable[[#This Row],[explanation1]]="WJ",1,IF(DataTable[[#This Row],[explanation2]]="WJ",1,0))</f>
        <v>0</v>
      </c>
      <c r="AB330" s="18">
        <f>IF(DataTable[[#This Row],[explanation1]]="U",1,IF(DataTable[[#This Row],[explanation2]]="U",1,0))</f>
        <v>0</v>
      </c>
      <c r="AC330" s="18">
        <f>IF(DataTable[[#This Row],[explanation1]]="O",1,IF(DataTable[[#This Row],[explanation2]]="O",1,0))</f>
        <v>1</v>
      </c>
      <c r="AD330" s="18">
        <f>IF(DataTable[[#This Row],[explanation1]]="TP",1,IF(DataTable[[#This Row],[explanation2]]="TP",1,0))</f>
        <v>0</v>
      </c>
      <c r="AE330" s="18">
        <f>IF(DataTable[[#This Row],[explanation1]]="WP",1,IF(DataTable[[#This Row],[explanation2]]="WP",1,0))</f>
        <v>0</v>
      </c>
      <c r="AF330" s="18">
        <f>IF(DataTable[[#This Row],[explanation1]]="BR",1,IF(DataTable[[#This Row],[explanation2]]="BR",1,0))</f>
        <v>0</v>
      </c>
      <c r="AG330" s="18">
        <f>IF(DataTable[[#This Row],[explanation1]]="LS",1,IF(DataTable[[#This Row],[explanation2]]="LS",1,0))</f>
        <v>0</v>
      </c>
      <c r="AH330" s="37" t="s">
        <v>9</v>
      </c>
    </row>
    <row r="331" spans="1:34" x14ac:dyDescent="0.2">
      <c r="A331" s="13">
        <v>329</v>
      </c>
      <c r="B331" s="14" t="s">
        <v>64</v>
      </c>
      <c r="C331" s="15" t="s">
        <v>45</v>
      </c>
      <c r="D331" s="16">
        <v>1</v>
      </c>
      <c r="E331" s="14" t="s">
        <v>46</v>
      </c>
      <c r="F331" s="16">
        <v>23</v>
      </c>
      <c r="G331" s="14" t="s">
        <v>64</v>
      </c>
      <c r="H331" s="15" t="s">
        <v>48</v>
      </c>
      <c r="I331" s="16" t="str">
        <f t="shared" si="5"/>
        <v>M1</v>
      </c>
      <c r="J331" s="14" t="s">
        <v>78</v>
      </c>
      <c r="K331" s="16" t="s">
        <v>49</v>
      </c>
      <c r="L331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331" s="15">
        <f>IF(DataTable[[#This Row],[3x head (H)/tail (T)?]]=DataTable[[#This Row],[then 4th: H/T/B/0]],1,0)</f>
        <v>0</v>
      </c>
      <c r="N331" s="15">
        <f>IF(DataTable[[#This Row],[then 4th: H/T/B/0]]="B",1,0)</f>
        <v>0</v>
      </c>
      <c r="O331" s="14" t="s">
        <v>331</v>
      </c>
      <c r="P331" s="15">
        <v>21</v>
      </c>
      <c r="Q331" s="169" t="s">
        <v>71</v>
      </c>
      <c r="R331" s="16" t="s">
        <v>58</v>
      </c>
      <c r="S331" s="18" t="s">
        <v>75</v>
      </c>
      <c r="T331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31" s="19" t="s">
        <v>76</v>
      </c>
      <c r="V331" s="20" t="s">
        <v>8</v>
      </c>
      <c r="W331" s="20"/>
      <c r="X331" s="18"/>
      <c r="Y331" s="18">
        <f>IF(DataTable[[#This Row],[explanation1]]="BL",1,IF(DataTable[[#This Row],[explanation2]]="BL",1,IF(DataTable[[#This Row],[explanation1]]="BR",1,IF(DataTable[[#This Row],[explanation2]]="BR",1,0))))</f>
        <v>0</v>
      </c>
      <c r="Z331" s="18">
        <f>IF(DataTable[[#This Row],[explanation1]]="BL",1,IF(DataTable[[#This Row],[explanation2]]="BL",1,0))</f>
        <v>0</v>
      </c>
      <c r="AA331" s="18">
        <f>IF(DataTable[[#This Row],[explanation1]]="WJ",1,IF(DataTable[[#This Row],[explanation2]]="WJ",1,0))</f>
        <v>0</v>
      </c>
      <c r="AB331" s="18">
        <f>IF(DataTable[[#This Row],[explanation1]]="U",1,IF(DataTable[[#This Row],[explanation2]]="U",1,0))</f>
        <v>1</v>
      </c>
      <c r="AC331" s="18">
        <f>IF(DataTable[[#This Row],[explanation1]]="O",1,IF(DataTable[[#This Row],[explanation2]]="O",1,0))</f>
        <v>0</v>
      </c>
      <c r="AD331" s="18">
        <f>IF(DataTable[[#This Row],[explanation1]]="TP",1,IF(DataTable[[#This Row],[explanation2]]="TP",1,0))</f>
        <v>0</v>
      </c>
      <c r="AE331" s="18">
        <f>IF(DataTable[[#This Row],[explanation1]]="WP",1,IF(DataTable[[#This Row],[explanation2]]="WP",1,0))</f>
        <v>0</v>
      </c>
      <c r="AF331" s="18">
        <f>IF(DataTable[[#This Row],[explanation1]]="BR",1,IF(DataTable[[#This Row],[explanation2]]="BR",1,0))</f>
        <v>0</v>
      </c>
      <c r="AG331" s="18">
        <f>IF(DataTable[[#This Row],[explanation1]]="LS",1,IF(DataTable[[#This Row],[explanation2]]="LS",1,0))</f>
        <v>0</v>
      </c>
      <c r="AH331" s="30" t="s">
        <v>8</v>
      </c>
    </row>
    <row r="332" spans="1:34" x14ac:dyDescent="0.2">
      <c r="A332" s="22">
        <v>330</v>
      </c>
      <c r="B332" s="23" t="s">
        <v>64</v>
      </c>
      <c r="C332" s="24" t="s">
        <v>45</v>
      </c>
      <c r="D332" s="25">
        <v>1</v>
      </c>
      <c r="E332" s="23" t="s">
        <v>46</v>
      </c>
      <c r="F332" s="25">
        <v>28</v>
      </c>
      <c r="G332" s="23" t="s">
        <v>64</v>
      </c>
      <c r="H332" s="24" t="s">
        <v>81</v>
      </c>
      <c r="I332" s="25" t="str">
        <f t="shared" si="5"/>
        <v>R</v>
      </c>
      <c r="J332" s="23" t="s">
        <v>78</v>
      </c>
      <c r="K332" s="25" t="s">
        <v>50</v>
      </c>
      <c r="L332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32" s="24">
        <f>IF(DataTable[[#This Row],[3x head (H)/tail (T)?]]=DataTable[[#This Row],[then 4th: H/T/B/0]],1,0)</f>
        <v>0</v>
      </c>
      <c r="N332" s="24">
        <f>IF(DataTable[[#This Row],[then 4th: H/T/B/0]]="B",1,0)</f>
        <v>1</v>
      </c>
      <c r="O332" s="23" t="s">
        <v>331</v>
      </c>
      <c r="P332" s="24">
        <v>21</v>
      </c>
      <c r="Q332" s="168" t="s">
        <v>118</v>
      </c>
      <c r="R332" s="25" t="s">
        <v>58</v>
      </c>
      <c r="S332" s="27" t="s">
        <v>54</v>
      </c>
      <c r="T332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332" s="28" t="s">
        <v>342</v>
      </c>
      <c r="V332" s="29" t="s">
        <v>13</v>
      </c>
      <c r="W332" s="29"/>
      <c r="X332" s="27"/>
      <c r="Y332" s="27">
        <f>IF(DataTable[[#This Row],[explanation1]]="BL",1,IF(DataTable[[#This Row],[explanation2]]="BL",1,IF(DataTable[[#This Row],[explanation1]]="BR",1,IF(DataTable[[#This Row],[explanation2]]="BR",1,0))))</f>
        <v>0</v>
      </c>
      <c r="Z332" s="18">
        <f>IF(DataTable[[#This Row],[explanation1]]="BL",1,IF(DataTable[[#This Row],[explanation2]]="BL",1,0))</f>
        <v>0</v>
      </c>
      <c r="AA332" s="18">
        <f>IF(DataTable[[#This Row],[explanation1]]="WJ",1,IF(DataTable[[#This Row],[explanation2]]="WJ",1,0))</f>
        <v>0</v>
      </c>
      <c r="AB332" s="18">
        <f>IF(DataTable[[#This Row],[explanation1]]="U",1,IF(DataTable[[#This Row],[explanation2]]="U",1,0))</f>
        <v>0</v>
      </c>
      <c r="AC332" s="18">
        <f>IF(DataTable[[#This Row],[explanation1]]="O",1,IF(DataTable[[#This Row],[explanation2]]="O",1,0))</f>
        <v>0</v>
      </c>
      <c r="AD332" s="18">
        <f>IF(DataTable[[#This Row],[explanation1]]="TP",1,IF(DataTable[[#This Row],[explanation2]]="TP",1,0))</f>
        <v>0</v>
      </c>
      <c r="AE332" s="18">
        <f>IF(DataTable[[#This Row],[explanation1]]="WP",1,IF(DataTable[[#This Row],[explanation2]]="WP",1,0))</f>
        <v>0</v>
      </c>
      <c r="AF332" s="18">
        <f>IF(DataTable[[#This Row],[explanation1]]="BR",1,IF(DataTable[[#This Row],[explanation2]]="BR",1,0))</f>
        <v>0</v>
      </c>
      <c r="AG332" s="18">
        <f>IF(DataTable[[#This Row],[explanation1]]="LS",1,IF(DataTable[[#This Row],[explanation2]]="LS",1,0))</f>
        <v>1</v>
      </c>
      <c r="AH332" s="37" t="s">
        <v>13</v>
      </c>
    </row>
    <row r="333" spans="1:34" x14ac:dyDescent="0.2">
      <c r="A333" s="13">
        <v>331</v>
      </c>
      <c r="B333" s="14" t="s">
        <v>64</v>
      </c>
      <c r="C333" s="15" t="s">
        <v>45</v>
      </c>
      <c r="D333" s="16">
        <v>50</v>
      </c>
      <c r="E333" s="14" t="s">
        <v>58</v>
      </c>
      <c r="F333" s="16">
        <v>23</v>
      </c>
      <c r="G333" s="14" t="s">
        <v>47</v>
      </c>
      <c r="H333" s="15" t="s">
        <v>81</v>
      </c>
      <c r="I333" s="16" t="str">
        <f t="shared" si="5"/>
        <v>M1</v>
      </c>
      <c r="J333" s="14" t="s">
        <v>78</v>
      </c>
      <c r="K333" s="16" t="s">
        <v>50</v>
      </c>
      <c r="L333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33" s="15">
        <f>IF(DataTable[[#This Row],[3x head (H)/tail (T)?]]=DataTable[[#This Row],[then 4th: H/T/B/0]],1,0)</f>
        <v>0</v>
      </c>
      <c r="N333" s="15">
        <f>IF(DataTable[[#This Row],[then 4th: H/T/B/0]]="B",1,0)</f>
        <v>1</v>
      </c>
      <c r="O333" s="14" t="s">
        <v>335</v>
      </c>
      <c r="P333" s="15">
        <v>14</v>
      </c>
      <c r="Q333" s="169" t="s">
        <v>118</v>
      </c>
      <c r="R333" s="16" t="s">
        <v>58</v>
      </c>
      <c r="S333" s="18" t="s">
        <v>75</v>
      </c>
      <c r="T333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33" s="19" t="s">
        <v>76</v>
      </c>
      <c r="V333" s="20" t="s">
        <v>11</v>
      </c>
      <c r="W333" s="20"/>
      <c r="X333" s="18"/>
      <c r="Y333" s="18">
        <f>IF(DataTable[[#This Row],[explanation1]]="BL",1,IF(DataTable[[#This Row],[explanation2]]="BL",1,IF(DataTable[[#This Row],[explanation1]]="BR",1,IF(DataTable[[#This Row],[explanation2]]="BR",1,0))))</f>
        <v>0</v>
      </c>
      <c r="Z333" s="18">
        <f>IF(DataTable[[#This Row],[explanation1]]="BL",1,IF(DataTable[[#This Row],[explanation2]]="BL",1,0))</f>
        <v>0</v>
      </c>
      <c r="AA333" s="18">
        <f>IF(DataTable[[#This Row],[explanation1]]="WJ",1,IF(DataTable[[#This Row],[explanation2]]="WJ",1,0))</f>
        <v>0</v>
      </c>
      <c r="AB333" s="18">
        <f>IF(DataTable[[#This Row],[explanation1]]="U",1,IF(DataTable[[#This Row],[explanation2]]="U",1,0))</f>
        <v>0</v>
      </c>
      <c r="AC333" s="18">
        <f>IF(DataTable[[#This Row],[explanation1]]="O",1,IF(DataTable[[#This Row],[explanation2]]="O",1,0))</f>
        <v>0</v>
      </c>
      <c r="AD333" s="18">
        <f>IF(DataTable[[#This Row],[explanation1]]="TP",1,IF(DataTable[[#This Row],[explanation2]]="TP",1,0))</f>
        <v>0</v>
      </c>
      <c r="AE333" s="18">
        <f>IF(DataTable[[#This Row],[explanation1]]="WP",1,IF(DataTable[[#This Row],[explanation2]]="WP",1,0))</f>
        <v>1</v>
      </c>
      <c r="AF333" s="18">
        <f>IF(DataTable[[#This Row],[explanation1]]="BR",1,IF(DataTable[[#This Row],[explanation2]]="BR",1,0))</f>
        <v>0</v>
      </c>
      <c r="AG333" s="18">
        <f>IF(DataTable[[#This Row],[explanation1]]="LS",1,IF(DataTable[[#This Row],[explanation2]]="LS",1,0))</f>
        <v>0</v>
      </c>
      <c r="AH333" s="30" t="s">
        <v>11</v>
      </c>
    </row>
    <row r="334" spans="1:34" x14ac:dyDescent="0.2">
      <c r="A334" s="22">
        <v>332</v>
      </c>
      <c r="B334" s="23" t="s">
        <v>64</v>
      </c>
      <c r="C334" s="24" t="s">
        <v>45</v>
      </c>
      <c r="D334" s="25">
        <v>50</v>
      </c>
      <c r="E334" s="23" t="s">
        <v>46</v>
      </c>
      <c r="F334" s="25">
        <v>60</v>
      </c>
      <c r="G334" s="23" t="s">
        <v>47</v>
      </c>
      <c r="H334" s="24" t="s">
        <v>48</v>
      </c>
      <c r="I334" s="25" t="str">
        <f t="shared" si="5"/>
        <v>R</v>
      </c>
      <c r="J334" s="23" t="s">
        <v>78</v>
      </c>
      <c r="K334" s="25" t="s">
        <v>78</v>
      </c>
      <c r="L334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34" s="24">
        <f>IF(DataTable[[#This Row],[3x head (H)/tail (T)?]]=DataTable[[#This Row],[then 4th: H/T/B/0]],1,0)</f>
        <v>1</v>
      </c>
      <c r="N334" s="24">
        <f>IF(DataTable[[#This Row],[then 4th: H/T/B/0]]="B",1,0)</f>
        <v>0</v>
      </c>
      <c r="O334" s="23" t="s">
        <v>335</v>
      </c>
      <c r="P334" s="24">
        <v>14</v>
      </c>
      <c r="Q334" s="168" t="s">
        <v>118</v>
      </c>
      <c r="R334" s="25" t="s">
        <v>58</v>
      </c>
      <c r="S334" s="27" t="s">
        <v>75</v>
      </c>
      <c r="T334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34" s="28" t="s">
        <v>76</v>
      </c>
      <c r="V334" s="29" t="s">
        <v>9</v>
      </c>
      <c r="W334" s="29"/>
      <c r="X334" s="27"/>
      <c r="Y334" s="27">
        <f>IF(DataTable[[#This Row],[explanation1]]="BL",1,IF(DataTable[[#This Row],[explanation2]]="BL",1,IF(DataTable[[#This Row],[explanation1]]="BR",1,IF(DataTable[[#This Row],[explanation2]]="BR",1,0))))</f>
        <v>0</v>
      </c>
      <c r="Z334" s="18">
        <f>IF(DataTable[[#This Row],[explanation1]]="BL",1,IF(DataTable[[#This Row],[explanation2]]="BL",1,0))</f>
        <v>0</v>
      </c>
      <c r="AA334" s="18">
        <f>IF(DataTable[[#This Row],[explanation1]]="WJ",1,IF(DataTable[[#This Row],[explanation2]]="WJ",1,0))</f>
        <v>0</v>
      </c>
      <c r="AB334" s="18">
        <f>IF(DataTable[[#This Row],[explanation1]]="U",1,IF(DataTable[[#This Row],[explanation2]]="U",1,0))</f>
        <v>0</v>
      </c>
      <c r="AC334" s="18">
        <f>IF(DataTable[[#This Row],[explanation1]]="O",1,IF(DataTable[[#This Row],[explanation2]]="O",1,0))</f>
        <v>1</v>
      </c>
      <c r="AD334" s="18">
        <f>IF(DataTable[[#This Row],[explanation1]]="TP",1,IF(DataTable[[#This Row],[explanation2]]="TP",1,0))</f>
        <v>0</v>
      </c>
      <c r="AE334" s="18">
        <f>IF(DataTable[[#This Row],[explanation1]]="WP",1,IF(DataTable[[#This Row],[explanation2]]="WP",1,0))</f>
        <v>0</v>
      </c>
      <c r="AF334" s="18">
        <f>IF(DataTable[[#This Row],[explanation1]]="BR",1,IF(DataTable[[#This Row],[explanation2]]="BR",1,0))</f>
        <v>0</v>
      </c>
      <c r="AG334" s="18">
        <f>IF(DataTable[[#This Row],[explanation1]]="LS",1,IF(DataTable[[#This Row],[explanation2]]="LS",1,0))</f>
        <v>0</v>
      </c>
      <c r="AH334" s="37" t="s">
        <v>9</v>
      </c>
    </row>
    <row r="335" spans="1:34" x14ac:dyDescent="0.2">
      <c r="A335" s="13">
        <v>333</v>
      </c>
      <c r="B335" s="14" t="s">
        <v>64</v>
      </c>
      <c r="C335" s="15" t="s">
        <v>45</v>
      </c>
      <c r="D335" s="16">
        <v>50</v>
      </c>
      <c r="E335" s="14" t="s">
        <v>46</v>
      </c>
      <c r="F335" s="16">
        <v>47</v>
      </c>
      <c r="G335" s="14" t="s">
        <v>47</v>
      </c>
      <c r="H335" s="15" t="s">
        <v>81</v>
      </c>
      <c r="I335" s="16" t="str">
        <f t="shared" si="5"/>
        <v>M1</v>
      </c>
      <c r="J335" s="14" t="s">
        <v>49</v>
      </c>
      <c r="K335" s="16" t="s">
        <v>78</v>
      </c>
      <c r="L335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335" s="15">
        <f>IF(DataTable[[#This Row],[3x head (H)/tail (T)?]]=DataTable[[#This Row],[then 4th: H/T/B/0]],1,0)</f>
        <v>0</v>
      </c>
      <c r="N335" s="15">
        <f>IF(DataTable[[#This Row],[then 4th: H/T/B/0]]="B",1,0)</f>
        <v>0</v>
      </c>
      <c r="O335" s="14" t="s">
        <v>335</v>
      </c>
      <c r="P335" s="15">
        <v>14</v>
      </c>
      <c r="Q335" s="169" t="s">
        <v>118</v>
      </c>
      <c r="R335" s="16" t="s">
        <v>58</v>
      </c>
      <c r="S335" s="18" t="s">
        <v>54</v>
      </c>
      <c r="T335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335" s="19" t="s">
        <v>88</v>
      </c>
      <c r="V335" s="20" t="s">
        <v>7</v>
      </c>
      <c r="W335" s="20"/>
      <c r="X335" s="18"/>
      <c r="Y335" s="18">
        <f>IF(DataTable[[#This Row],[explanation1]]="BL",1,IF(DataTable[[#This Row],[explanation2]]="BL",1,IF(DataTable[[#This Row],[explanation1]]="BR",1,IF(DataTable[[#This Row],[explanation2]]="BR",1,0))))</f>
        <v>0</v>
      </c>
      <c r="Z335" s="18">
        <f>IF(DataTable[[#This Row],[explanation1]]="BL",1,IF(DataTable[[#This Row],[explanation2]]="BL",1,0))</f>
        <v>0</v>
      </c>
      <c r="AA335" s="18">
        <f>IF(DataTable[[#This Row],[explanation1]]="WJ",1,IF(DataTable[[#This Row],[explanation2]]="WJ",1,0))</f>
        <v>1</v>
      </c>
      <c r="AB335" s="18">
        <f>IF(DataTable[[#This Row],[explanation1]]="U",1,IF(DataTable[[#This Row],[explanation2]]="U",1,0))</f>
        <v>0</v>
      </c>
      <c r="AC335" s="18">
        <f>IF(DataTable[[#This Row],[explanation1]]="O",1,IF(DataTable[[#This Row],[explanation2]]="O",1,0))</f>
        <v>0</v>
      </c>
      <c r="AD335" s="18">
        <f>IF(DataTable[[#This Row],[explanation1]]="TP",1,IF(DataTable[[#This Row],[explanation2]]="TP",1,0))</f>
        <v>0</v>
      </c>
      <c r="AE335" s="18">
        <f>IF(DataTable[[#This Row],[explanation1]]="WP",1,IF(DataTable[[#This Row],[explanation2]]="WP",1,0))</f>
        <v>0</v>
      </c>
      <c r="AF335" s="18">
        <f>IF(DataTable[[#This Row],[explanation1]]="BR",1,IF(DataTable[[#This Row],[explanation2]]="BR",1,0))</f>
        <v>0</v>
      </c>
      <c r="AG335" s="18">
        <f>IF(DataTable[[#This Row],[explanation1]]="LS",1,IF(DataTable[[#This Row],[explanation2]]="LS",1,0))</f>
        <v>0</v>
      </c>
      <c r="AH335" s="30" t="s">
        <v>7</v>
      </c>
    </row>
    <row r="336" spans="1:34" x14ac:dyDescent="0.2">
      <c r="A336" s="22">
        <v>334</v>
      </c>
      <c r="B336" s="23" t="s">
        <v>64</v>
      </c>
      <c r="C336" s="24" t="s">
        <v>45</v>
      </c>
      <c r="D336" s="25">
        <v>50</v>
      </c>
      <c r="E336" s="23" t="s">
        <v>46</v>
      </c>
      <c r="F336" s="25">
        <v>25</v>
      </c>
      <c r="G336" s="23" t="s">
        <v>47</v>
      </c>
      <c r="H336" s="24" t="s">
        <v>48</v>
      </c>
      <c r="I336" s="25" t="str">
        <f t="shared" si="5"/>
        <v>R</v>
      </c>
      <c r="J336" s="23" t="s">
        <v>49</v>
      </c>
      <c r="K336" s="25" t="s">
        <v>78</v>
      </c>
      <c r="L336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336" s="24">
        <f>IF(DataTable[[#This Row],[3x head (H)/tail (T)?]]=DataTable[[#This Row],[then 4th: H/T/B/0]],1,0)</f>
        <v>0</v>
      </c>
      <c r="N336" s="24">
        <f>IF(DataTable[[#This Row],[then 4th: H/T/B/0]]="B",1,0)</f>
        <v>0</v>
      </c>
      <c r="O336" s="23" t="s">
        <v>331</v>
      </c>
      <c r="P336" s="24">
        <v>21</v>
      </c>
      <c r="Q336" s="168" t="s">
        <v>411</v>
      </c>
      <c r="R336" s="25" t="s">
        <v>58</v>
      </c>
      <c r="S336" s="27" t="s">
        <v>65</v>
      </c>
      <c r="T336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336" s="28" t="s">
        <v>329</v>
      </c>
      <c r="V336" s="29" t="s">
        <v>6</v>
      </c>
      <c r="W336" s="29"/>
      <c r="X336" s="27"/>
      <c r="Y336" s="27">
        <f>IF(DataTable[[#This Row],[explanation1]]="BL",1,IF(DataTable[[#This Row],[explanation2]]="BL",1,IF(DataTable[[#This Row],[explanation1]]="BR",1,IF(DataTable[[#This Row],[explanation2]]="BR",1,0))))</f>
        <v>1</v>
      </c>
      <c r="Z336" s="18">
        <f>IF(DataTable[[#This Row],[explanation1]]="BL",1,IF(DataTable[[#This Row],[explanation2]]="BL",1,0))</f>
        <v>1</v>
      </c>
      <c r="AA336" s="18">
        <f>IF(DataTable[[#This Row],[explanation1]]="WJ",1,IF(DataTable[[#This Row],[explanation2]]="WJ",1,0))</f>
        <v>0</v>
      </c>
      <c r="AB336" s="18">
        <f>IF(DataTable[[#This Row],[explanation1]]="U",1,IF(DataTable[[#This Row],[explanation2]]="U",1,0))</f>
        <v>0</v>
      </c>
      <c r="AC336" s="18">
        <f>IF(DataTable[[#This Row],[explanation1]]="O",1,IF(DataTable[[#This Row],[explanation2]]="O",1,0))</f>
        <v>0</v>
      </c>
      <c r="AD336" s="18">
        <f>IF(DataTable[[#This Row],[explanation1]]="TP",1,IF(DataTable[[#This Row],[explanation2]]="TP",1,0))</f>
        <v>0</v>
      </c>
      <c r="AE336" s="18">
        <f>IF(DataTable[[#This Row],[explanation1]]="WP",1,IF(DataTable[[#This Row],[explanation2]]="WP",1,0))</f>
        <v>0</v>
      </c>
      <c r="AF336" s="18">
        <f>IF(DataTable[[#This Row],[explanation1]]="BR",1,IF(DataTable[[#This Row],[explanation2]]="BR",1,0))</f>
        <v>0</v>
      </c>
      <c r="AG336" s="18">
        <f>IF(DataTable[[#This Row],[explanation1]]="LS",1,IF(DataTable[[#This Row],[explanation2]]="LS",1,0))</f>
        <v>0</v>
      </c>
      <c r="AH336" s="37" t="s">
        <v>6</v>
      </c>
    </row>
    <row r="337" spans="1:34" x14ac:dyDescent="0.2">
      <c r="A337" s="13">
        <v>335</v>
      </c>
      <c r="B337" s="14" t="s">
        <v>64</v>
      </c>
      <c r="C337" s="15" t="s">
        <v>45</v>
      </c>
      <c r="D337" s="16">
        <v>50</v>
      </c>
      <c r="E337" s="14" t="s">
        <v>46</v>
      </c>
      <c r="F337" s="16">
        <v>31</v>
      </c>
      <c r="G337" s="14" t="s">
        <v>64</v>
      </c>
      <c r="H337" s="15" t="s">
        <v>81</v>
      </c>
      <c r="I337" s="16" t="str">
        <f t="shared" si="5"/>
        <v>R</v>
      </c>
      <c r="J337" s="14" t="s">
        <v>49</v>
      </c>
      <c r="K337" s="16" t="s">
        <v>78</v>
      </c>
      <c r="L337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337" s="15">
        <f>IF(DataTable[[#This Row],[3x head (H)/tail (T)?]]=DataTable[[#This Row],[then 4th: H/T/B/0]],1,0)</f>
        <v>0</v>
      </c>
      <c r="N337" s="15">
        <f>IF(DataTable[[#This Row],[then 4th: H/T/B/0]]="B",1,0)</f>
        <v>0</v>
      </c>
      <c r="O337" s="14" t="s">
        <v>331</v>
      </c>
      <c r="P337" s="15">
        <v>21</v>
      </c>
      <c r="Q337" s="169" t="s">
        <v>118</v>
      </c>
      <c r="R337" s="16" t="s">
        <v>58</v>
      </c>
      <c r="S337" s="18" t="s">
        <v>75</v>
      </c>
      <c r="T337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37" s="19" t="s">
        <v>76</v>
      </c>
      <c r="V337" s="20" t="s">
        <v>13</v>
      </c>
      <c r="W337" s="20"/>
      <c r="X337" s="18"/>
      <c r="Y337" s="18">
        <f>IF(DataTable[[#This Row],[explanation1]]="BL",1,IF(DataTable[[#This Row],[explanation2]]="BL",1,IF(DataTable[[#This Row],[explanation1]]="BR",1,IF(DataTable[[#This Row],[explanation2]]="BR",1,0))))</f>
        <v>0</v>
      </c>
      <c r="Z337" s="18">
        <f>IF(DataTable[[#This Row],[explanation1]]="BL",1,IF(DataTable[[#This Row],[explanation2]]="BL",1,0))</f>
        <v>0</v>
      </c>
      <c r="AA337" s="18">
        <f>IF(DataTable[[#This Row],[explanation1]]="WJ",1,IF(DataTable[[#This Row],[explanation2]]="WJ",1,0))</f>
        <v>0</v>
      </c>
      <c r="AB337" s="18">
        <f>IF(DataTable[[#This Row],[explanation1]]="U",1,IF(DataTable[[#This Row],[explanation2]]="U",1,0))</f>
        <v>0</v>
      </c>
      <c r="AC337" s="18">
        <f>IF(DataTable[[#This Row],[explanation1]]="O",1,IF(DataTable[[#This Row],[explanation2]]="O",1,0))</f>
        <v>0</v>
      </c>
      <c r="AD337" s="18">
        <f>IF(DataTable[[#This Row],[explanation1]]="TP",1,IF(DataTable[[#This Row],[explanation2]]="TP",1,0))</f>
        <v>0</v>
      </c>
      <c r="AE337" s="18">
        <f>IF(DataTable[[#This Row],[explanation1]]="WP",1,IF(DataTable[[#This Row],[explanation2]]="WP",1,0))</f>
        <v>0</v>
      </c>
      <c r="AF337" s="18">
        <f>IF(DataTable[[#This Row],[explanation1]]="BR",1,IF(DataTable[[#This Row],[explanation2]]="BR",1,0))</f>
        <v>0</v>
      </c>
      <c r="AG337" s="18">
        <f>IF(DataTable[[#This Row],[explanation1]]="LS",1,IF(DataTable[[#This Row],[explanation2]]="LS",1,0))</f>
        <v>1</v>
      </c>
      <c r="AH337" s="30" t="s">
        <v>13</v>
      </c>
    </row>
    <row r="338" spans="1:34" x14ac:dyDescent="0.2">
      <c r="A338" s="22">
        <v>336</v>
      </c>
      <c r="B338" s="23" t="s">
        <v>70</v>
      </c>
      <c r="C338" s="24" t="s">
        <v>74</v>
      </c>
      <c r="D338" s="25">
        <v>1</v>
      </c>
      <c r="E338" s="23" t="s">
        <v>46</v>
      </c>
      <c r="F338" s="25">
        <v>29</v>
      </c>
      <c r="G338" s="23" t="s">
        <v>47</v>
      </c>
      <c r="H338" s="24" t="s">
        <v>81</v>
      </c>
      <c r="I338" s="25" t="str">
        <f t="shared" si="5"/>
        <v>M5</v>
      </c>
      <c r="J338" s="23" t="s">
        <v>78</v>
      </c>
      <c r="K338" s="25" t="s">
        <v>50</v>
      </c>
      <c r="L338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38" s="24">
        <f>IF(DataTable[[#This Row],[3x head (H)/tail (T)?]]=DataTable[[#This Row],[then 4th: H/T/B/0]],1,0)</f>
        <v>0</v>
      </c>
      <c r="N338" s="24">
        <f>IF(DataTable[[#This Row],[then 4th: H/T/B/0]]="B",1,0)</f>
        <v>1</v>
      </c>
      <c r="O338" s="23" t="s">
        <v>327</v>
      </c>
      <c r="P338" s="24">
        <v>14</v>
      </c>
      <c r="Q338" s="168" t="s">
        <v>118</v>
      </c>
      <c r="R338" s="25" t="s">
        <v>58</v>
      </c>
      <c r="S338" s="27" t="s">
        <v>75</v>
      </c>
      <c r="T338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38" s="28" t="s">
        <v>76</v>
      </c>
      <c r="V338" s="29" t="s">
        <v>6</v>
      </c>
      <c r="W338" s="29"/>
      <c r="X338" s="27"/>
      <c r="Y338" s="27">
        <f>IF(DataTable[[#This Row],[explanation1]]="BL",1,IF(DataTable[[#This Row],[explanation2]]="BL",1,IF(DataTable[[#This Row],[explanation1]]="BR",1,IF(DataTable[[#This Row],[explanation2]]="BR",1,0))))</f>
        <v>1</v>
      </c>
      <c r="Z338" s="18">
        <f>IF(DataTable[[#This Row],[explanation1]]="BL",1,IF(DataTable[[#This Row],[explanation2]]="BL",1,0))</f>
        <v>1</v>
      </c>
      <c r="AA338" s="18">
        <f>IF(DataTable[[#This Row],[explanation1]]="WJ",1,IF(DataTable[[#This Row],[explanation2]]="WJ",1,0))</f>
        <v>0</v>
      </c>
      <c r="AB338" s="18">
        <f>IF(DataTable[[#This Row],[explanation1]]="U",1,IF(DataTable[[#This Row],[explanation2]]="U",1,0))</f>
        <v>0</v>
      </c>
      <c r="AC338" s="18">
        <f>IF(DataTable[[#This Row],[explanation1]]="O",1,IF(DataTable[[#This Row],[explanation2]]="O",1,0))</f>
        <v>0</v>
      </c>
      <c r="AD338" s="18">
        <f>IF(DataTable[[#This Row],[explanation1]]="TP",1,IF(DataTable[[#This Row],[explanation2]]="TP",1,0))</f>
        <v>0</v>
      </c>
      <c r="AE338" s="18">
        <f>IF(DataTable[[#This Row],[explanation1]]="WP",1,IF(DataTable[[#This Row],[explanation2]]="WP",1,0))</f>
        <v>0</v>
      </c>
      <c r="AF338" s="18">
        <f>IF(DataTable[[#This Row],[explanation1]]="BR",1,IF(DataTable[[#This Row],[explanation2]]="BR",1,0))</f>
        <v>0</v>
      </c>
      <c r="AG338" s="18">
        <f>IF(DataTable[[#This Row],[explanation1]]="LS",1,IF(DataTable[[#This Row],[explanation2]]="LS",1,0))</f>
        <v>0</v>
      </c>
      <c r="AH338" s="37" t="s">
        <v>6</v>
      </c>
    </row>
    <row r="339" spans="1:34" x14ac:dyDescent="0.2">
      <c r="A339" s="13">
        <v>337</v>
      </c>
      <c r="B339" s="14" t="s">
        <v>70</v>
      </c>
      <c r="C339" s="15" t="s">
        <v>74</v>
      </c>
      <c r="D339" s="16">
        <v>1</v>
      </c>
      <c r="E339" s="14" t="s">
        <v>58</v>
      </c>
      <c r="F339" s="16">
        <v>26</v>
      </c>
      <c r="G339" s="14" t="s">
        <v>47</v>
      </c>
      <c r="H339" s="15" t="s">
        <v>48</v>
      </c>
      <c r="I339" s="16" t="str">
        <f t="shared" si="5"/>
        <v>R</v>
      </c>
      <c r="J339" s="14" t="s">
        <v>78</v>
      </c>
      <c r="K339" s="16" t="s">
        <v>50</v>
      </c>
      <c r="L339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39" s="15">
        <f>IF(DataTable[[#This Row],[3x head (H)/tail (T)?]]=DataTable[[#This Row],[then 4th: H/T/B/0]],1,0)</f>
        <v>0</v>
      </c>
      <c r="N339" s="15">
        <f>IF(DataTable[[#This Row],[then 4th: H/T/B/0]]="B",1,0)</f>
        <v>1</v>
      </c>
      <c r="O339" s="14" t="s">
        <v>327</v>
      </c>
      <c r="P339" s="15">
        <v>14</v>
      </c>
      <c r="Q339" s="169" t="s">
        <v>118</v>
      </c>
      <c r="R339" s="16" t="s">
        <v>58</v>
      </c>
      <c r="S339" s="18" t="s">
        <v>61</v>
      </c>
      <c r="T339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4</v>
      </c>
      <c r="U339" s="19" t="s">
        <v>173</v>
      </c>
      <c r="V339" s="20" t="s">
        <v>6</v>
      </c>
      <c r="W339" s="20"/>
      <c r="X339" s="18"/>
      <c r="Y339" s="18">
        <f>IF(DataTable[[#This Row],[explanation1]]="BL",1,IF(DataTable[[#This Row],[explanation2]]="BL",1,IF(DataTable[[#This Row],[explanation1]]="BR",1,IF(DataTable[[#This Row],[explanation2]]="BR",1,0))))</f>
        <v>1</v>
      </c>
      <c r="Z339" s="18">
        <f>IF(DataTable[[#This Row],[explanation1]]="BL",1,IF(DataTable[[#This Row],[explanation2]]="BL",1,0))</f>
        <v>1</v>
      </c>
      <c r="AA339" s="18">
        <f>IF(DataTable[[#This Row],[explanation1]]="WJ",1,IF(DataTable[[#This Row],[explanation2]]="WJ",1,0))</f>
        <v>0</v>
      </c>
      <c r="AB339" s="18">
        <f>IF(DataTable[[#This Row],[explanation1]]="U",1,IF(DataTable[[#This Row],[explanation2]]="U",1,0))</f>
        <v>0</v>
      </c>
      <c r="AC339" s="18">
        <f>IF(DataTable[[#This Row],[explanation1]]="O",1,IF(DataTable[[#This Row],[explanation2]]="O",1,0))</f>
        <v>0</v>
      </c>
      <c r="AD339" s="18">
        <f>IF(DataTable[[#This Row],[explanation1]]="TP",1,IF(DataTable[[#This Row],[explanation2]]="TP",1,0))</f>
        <v>0</v>
      </c>
      <c r="AE339" s="18">
        <f>IF(DataTable[[#This Row],[explanation1]]="WP",1,IF(DataTable[[#This Row],[explanation2]]="WP",1,0))</f>
        <v>0</v>
      </c>
      <c r="AF339" s="18">
        <f>IF(DataTable[[#This Row],[explanation1]]="BR",1,IF(DataTable[[#This Row],[explanation2]]="BR",1,0))</f>
        <v>0</v>
      </c>
      <c r="AG339" s="18">
        <f>IF(DataTable[[#This Row],[explanation1]]="LS",1,IF(DataTable[[#This Row],[explanation2]]="LS",1,0))</f>
        <v>0</v>
      </c>
      <c r="AH339" s="30" t="s">
        <v>6</v>
      </c>
    </row>
    <row r="340" spans="1:34" x14ac:dyDescent="0.2">
      <c r="A340" s="22">
        <v>338</v>
      </c>
      <c r="B340" s="23" t="s">
        <v>70</v>
      </c>
      <c r="C340" s="24" t="s">
        <v>74</v>
      </c>
      <c r="D340" s="25">
        <v>1</v>
      </c>
      <c r="E340" s="23" t="s">
        <v>46</v>
      </c>
      <c r="F340" s="25">
        <v>22</v>
      </c>
      <c r="G340" s="23" t="s">
        <v>70</v>
      </c>
      <c r="H340" s="24" t="s">
        <v>48</v>
      </c>
      <c r="I340" s="25" t="str">
        <f t="shared" si="5"/>
        <v>M5</v>
      </c>
      <c r="J340" s="23" t="s">
        <v>49</v>
      </c>
      <c r="K340" s="25" t="s">
        <v>50</v>
      </c>
      <c r="L340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40" s="24">
        <f>IF(DataTable[[#This Row],[3x head (H)/tail (T)?]]=DataTable[[#This Row],[then 4th: H/T/B/0]],1,0)</f>
        <v>0</v>
      </c>
      <c r="N340" s="24">
        <f>IF(DataTable[[#This Row],[then 4th: H/T/B/0]]="B",1,0)</f>
        <v>1</v>
      </c>
      <c r="O340" s="23" t="s">
        <v>327</v>
      </c>
      <c r="P340" s="24">
        <v>14</v>
      </c>
      <c r="Q340" s="168" t="s">
        <v>71</v>
      </c>
      <c r="R340" s="25" t="s">
        <v>58</v>
      </c>
      <c r="S340" s="27" t="s">
        <v>75</v>
      </c>
      <c r="T340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40" s="28" t="s">
        <v>76</v>
      </c>
      <c r="V340" s="29" t="s">
        <v>9</v>
      </c>
      <c r="W340" s="29"/>
      <c r="X340" s="27"/>
      <c r="Y340" s="27">
        <f>IF(DataTable[[#This Row],[explanation1]]="BL",1,IF(DataTable[[#This Row],[explanation2]]="BL",1,IF(DataTable[[#This Row],[explanation1]]="BR",1,IF(DataTable[[#This Row],[explanation2]]="BR",1,0))))</f>
        <v>0</v>
      </c>
      <c r="Z340" s="18">
        <f>IF(DataTable[[#This Row],[explanation1]]="BL",1,IF(DataTable[[#This Row],[explanation2]]="BL",1,0))</f>
        <v>0</v>
      </c>
      <c r="AA340" s="18">
        <f>IF(DataTable[[#This Row],[explanation1]]="WJ",1,IF(DataTable[[#This Row],[explanation2]]="WJ",1,0))</f>
        <v>0</v>
      </c>
      <c r="AB340" s="18">
        <f>IF(DataTable[[#This Row],[explanation1]]="U",1,IF(DataTable[[#This Row],[explanation2]]="U",1,0))</f>
        <v>0</v>
      </c>
      <c r="AC340" s="18">
        <f>IF(DataTable[[#This Row],[explanation1]]="O",1,IF(DataTable[[#This Row],[explanation2]]="O",1,0))</f>
        <v>1</v>
      </c>
      <c r="AD340" s="18">
        <f>IF(DataTable[[#This Row],[explanation1]]="TP",1,IF(DataTable[[#This Row],[explanation2]]="TP",1,0))</f>
        <v>0</v>
      </c>
      <c r="AE340" s="18">
        <f>IF(DataTable[[#This Row],[explanation1]]="WP",1,IF(DataTable[[#This Row],[explanation2]]="WP",1,0))</f>
        <v>0</v>
      </c>
      <c r="AF340" s="18">
        <f>IF(DataTable[[#This Row],[explanation1]]="BR",1,IF(DataTable[[#This Row],[explanation2]]="BR",1,0))</f>
        <v>0</v>
      </c>
      <c r="AG340" s="18">
        <f>IF(DataTable[[#This Row],[explanation1]]="LS",1,IF(DataTable[[#This Row],[explanation2]]="LS",1,0))</f>
        <v>0</v>
      </c>
      <c r="AH340" s="37" t="s">
        <v>9</v>
      </c>
    </row>
    <row r="341" spans="1:34" x14ac:dyDescent="0.2">
      <c r="A341" s="13">
        <v>339</v>
      </c>
      <c r="B341" s="14" t="s">
        <v>70</v>
      </c>
      <c r="C341" s="15" t="s">
        <v>74</v>
      </c>
      <c r="D341" s="16">
        <v>1</v>
      </c>
      <c r="E341" s="14" t="s">
        <v>46</v>
      </c>
      <c r="F341" s="16">
        <v>33</v>
      </c>
      <c r="G341" s="14" t="s">
        <v>70</v>
      </c>
      <c r="H341" s="15" t="s">
        <v>48</v>
      </c>
      <c r="I341" s="16" t="str">
        <f t="shared" si="5"/>
        <v>M5</v>
      </c>
      <c r="J341" s="14" t="s">
        <v>49</v>
      </c>
      <c r="K341" s="16" t="s">
        <v>49</v>
      </c>
      <c r="L341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41" s="15">
        <f>IF(DataTable[[#This Row],[3x head (H)/tail (T)?]]=DataTable[[#This Row],[then 4th: H/T/B/0]],1,0)</f>
        <v>1</v>
      </c>
      <c r="N341" s="15">
        <f>IF(DataTable[[#This Row],[then 4th: H/T/B/0]]="B",1,0)</f>
        <v>0</v>
      </c>
      <c r="O341" s="14" t="s">
        <v>327</v>
      </c>
      <c r="P341" s="15">
        <v>14</v>
      </c>
      <c r="Q341" s="169" t="s">
        <v>118</v>
      </c>
      <c r="R341" s="16" t="s">
        <v>58</v>
      </c>
      <c r="S341" s="18" t="s">
        <v>61</v>
      </c>
      <c r="T341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4</v>
      </c>
      <c r="U341" s="19" t="s">
        <v>173</v>
      </c>
      <c r="V341" s="20" t="s">
        <v>12</v>
      </c>
      <c r="W341" s="20"/>
      <c r="X341" s="18"/>
      <c r="Y341" s="18">
        <f>IF(DataTable[[#This Row],[explanation1]]="BL",1,IF(DataTable[[#This Row],[explanation2]]="BL",1,IF(DataTable[[#This Row],[explanation1]]="BR",1,IF(DataTable[[#This Row],[explanation2]]="BR",1,0))))</f>
        <v>1</v>
      </c>
      <c r="Z341" s="18">
        <f>IF(DataTable[[#This Row],[explanation1]]="BL",1,IF(DataTable[[#This Row],[explanation2]]="BL",1,0))</f>
        <v>0</v>
      </c>
      <c r="AA341" s="18">
        <f>IF(DataTable[[#This Row],[explanation1]]="WJ",1,IF(DataTable[[#This Row],[explanation2]]="WJ",1,0))</f>
        <v>0</v>
      </c>
      <c r="AB341" s="18">
        <f>IF(DataTable[[#This Row],[explanation1]]="U",1,IF(DataTable[[#This Row],[explanation2]]="U",1,0))</f>
        <v>0</v>
      </c>
      <c r="AC341" s="18">
        <f>IF(DataTable[[#This Row],[explanation1]]="O",1,IF(DataTable[[#This Row],[explanation2]]="O",1,0))</f>
        <v>0</v>
      </c>
      <c r="AD341" s="18">
        <f>IF(DataTable[[#This Row],[explanation1]]="TP",1,IF(DataTable[[#This Row],[explanation2]]="TP",1,0))</f>
        <v>0</v>
      </c>
      <c r="AE341" s="18">
        <f>IF(DataTable[[#This Row],[explanation1]]="WP",1,IF(DataTable[[#This Row],[explanation2]]="WP",1,0))</f>
        <v>0</v>
      </c>
      <c r="AF341" s="18">
        <f>IF(DataTable[[#This Row],[explanation1]]="BR",1,IF(DataTable[[#This Row],[explanation2]]="BR",1,0))</f>
        <v>1</v>
      </c>
      <c r="AG341" s="18">
        <f>IF(DataTable[[#This Row],[explanation1]]="LS",1,IF(DataTable[[#This Row],[explanation2]]="LS",1,0))</f>
        <v>0</v>
      </c>
      <c r="AH341" s="30" t="s">
        <v>12</v>
      </c>
    </row>
    <row r="342" spans="1:34" x14ac:dyDescent="0.2">
      <c r="A342" s="22">
        <v>340</v>
      </c>
      <c r="B342" s="23" t="s">
        <v>70</v>
      </c>
      <c r="C342" s="24" t="s">
        <v>74</v>
      </c>
      <c r="D342" s="25">
        <v>1</v>
      </c>
      <c r="E342" s="23" t="s">
        <v>58</v>
      </c>
      <c r="F342" s="25">
        <v>65</v>
      </c>
      <c r="G342" s="23" t="s">
        <v>47</v>
      </c>
      <c r="H342" s="24" t="s">
        <v>48</v>
      </c>
      <c r="I342" s="25" t="str">
        <f t="shared" si="5"/>
        <v>R</v>
      </c>
      <c r="J342" s="23" t="s">
        <v>78</v>
      </c>
      <c r="K342" s="25" t="s">
        <v>78</v>
      </c>
      <c r="L342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42" s="24">
        <f>IF(DataTable[[#This Row],[3x head (H)/tail (T)?]]=DataTable[[#This Row],[then 4th: H/T/B/0]],1,0)</f>
        <v>1</v>
      </c>
      <c r="N342" s="24">
        <f>IF(DataTable[[#This Row],[then 4th: H/T/B/0]]="B",1,0)</f>
        <v>0</v>
      </c>
      <c r="O342" s="23" t="s">
        <v>331</v>
      </c>
      <c r="P342" s="24">
        <v>21</v>
      </c>
      <c r="Q342" s="168" t="s">
        <v>118</v>
      </c>
      <c r="R342" s="25" t="s">
        <v>58</v>
      </c>
      <c r="S342" s="27" t="s">
        <v>65</v>
      </c>
      <c r="T342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342" s="28" t="s">
        <v>329</v>
      </c>
      <c r="V342" s="29" t="s">
        <v>6</v>
      </c>
      <c r="W342" s="29"/>
      <c r="X342" s="27"/>
      <c r="Y342" s="27">
        <f>IF(DataTable[[#This Row],[explanation1]]="BL",1,IF(DataTable[[#This Row],[explanation2]]="BL",1,IF(DataTable[[#This Row],[explanation1]]="BR",1,IF(DataTable[[#This Row],[explanation2]]="BR",1,0))))</f>
        <v>1</v>
      </c>
      <c r="Z342" s="18">
        <f>IF(DataTable[[#This Row],[explanation1]]="BL",1,IF(DataTable[[#This Row],[explanation2]]="BL",1,0))</f>
        <v>1</v>
      </c>
      <c r="AA342" s="18">
        <f>IF(DataTable[[#This Row],[explanation1]]="WJ",1,IF(DataTable[[#This Row],[explanation2]]="WJ",1,0))</f>
        <v>0</v>
      </c>
      <c r="AB342" s="18">
        <f>IF(DataTable[[#This Row],[explanation1]]="U",1,IF(DataTable[[#This Row],[explanation2]]="U",1,0))</f>
        <v>0</v>
      </c>
      <c r="AC342" s="18">
        <f>IF(DataTable[[#This Row],[explanation1]]="O",1,IF(DataTable[[#This Row],[explanation2]]="O",1,0))</f>
        <v>0</v>
      </c>
      <c r="AD342" s="18">
        <f>IF(DataTable[[#This Row],[explanation1]]="TP",1,IF(DataTable[[#This Row],[explanation2]]="TP",1,0))</f>
        <v>0</v>
      </c>
      <c r="AE342" s="18">
        <f>IF(DataTable[[#This Row],[explanation1]]="WP",1,IF(DataTable[[#This Row],[explanation2]]="WP",1,0))</f>
        <v>0</v>
      </c>
      <c r="AF342" s="18">
        <f>IF(DataTable[[#This Row],[explanation1]]="BR",1,IF(DataTable[[#This Row],[explanation2]]="BR",1,0))</f>
        <v>0</v>
      </c>
      <c r="AG342" s="18">
        <f>IF(DataTable[[#This Row],[explanation1]]="LS",1,IF(DataTable[[#This Row],[explanation2]]="LS",1,0))</f>
        <v>0</v>
      </c>
      <c r="AH342" s="37" t="s">
        <v>6</v>
      </c>
    </row>
    <row r="343" spans="1:34" x14ac:dyDescent="0.2">
      <c r="A343" s="13">
        <v>341</v>
      </c>
      <c r="B343" s="14" t="s">
        <v>70</v>
      </c>
      <c r="C343" s="15" t="s">
        <v>74</v>
      </c>
      <c r="D343" s="16">
        <v>50</v>
      </c>
      <c r="E343" s="14" t="s">
        <v>46</v>
      </c>
      <c r="F343" s="16">
        <v>35</v>
      </c>
      <c r="G343" s="14" t="s">
        <v>47</v>
      </c>
      <c r="H343" s="15" t="s">
        <v>48</v>
      </c>
      <c r="I343" s="16" t="str">
        <f t="shared" si="5"/>
        <v>R</v>
      </c>
      <c r="J343" s="14" t="s">
        <v>78</v>
      </c>
      <c r="K343" s="16" t="s">
        <v>50</v>
      </c>
      <c r="L343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43" s="15">
        <f>IF(DataTable[[#This Row],[3x head (H)/tail (T)?]]=DataTable[[#This Row],[then 4th: H/T/B/0]],1,0)</f>
        <v>0</v>
      </c>
      <c r="N343" s="15">
        <f>IF(DataTable[[#This Row],[then 4th: H/T/B/0]]="B",1,0)</f>
        <v>1</v>
      </c>
      <c r="O343" s="14" t="s">
        <v>327</v>
      </c>
      <c r="P343" s="15">
        <v>14</v>
      </c>
      <c r="Q343" s="169" t="s">
        <v>411</v>
      </c>
      <c r="R343" s="16" t="s">
        <v>58</v>
      </c>
      <c r="S343" s="18" t="s">
        <v>61</v>
      </c>
      <c r="T343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4</v>
      </c>
      <c r="U343" s="19" t="s">
        <v>173</v>
      </c>
      <c r="V343" s="20" t="s">
        <v>6</v>
      </c>
      <c r="W343" s="20"/>
      <c r="X343" s="18"/>
      <c r="Y343" s="18">
        <f>IF(DataTable[[#This Row],[explanation1]]="BL",1,IF(DataTable[[#This Row],[explanation2]]="BL",1,IF(DataTable[[#This Row],[explanation1]]="BR",1,IF(DataTable[[#This Row],[explanation2]]="BR",1,0))))</f>
        <v>1</v>
      </c>
      <c r="Z343" s="18">
        <f>IF(DataTable[[#This Row],[explanation1]]="BL",1,IF(DataTable[[#This Row],[explanation2]]="BL",1,0))</f>
        <v>1</v>
      </c>
      <c r="AA343" s="18">
        <f>IF(DataTable[[#This Row],[explanation1]]="WJ",1,IF(DataTable[[#This Row],[explanation2]]="WJ",1,0))</f>
        <v>0</v>
      </c>
      <c r="AB343" s="18">
        <f>IF(DataTable[[#This Row],[explanation1]]="U",1,IF(DataTable[[#This Row],[explanation2]]="U",1,0))</f>
        <v>0</v>
      </c>
      <c r="AC343" s="18">
        <f>IF(DataTable[[#This Row],[explanation1]]="O",1,IF(DataTable[[#This Row],[explanation2]]="O",1,0))</f>
        <v>0</v>
      </c>
      <c r="AD343" s="18">
        <f>IF(DataTable[[#This Row],[explanation1]]="TP",1,IF(DataTable[[#This Row],[explanation2]]="TP",1,0))</f>
        <v>0</v>
      </c>
      <c r="AE343" s="18">
        <f>IF(DataTable[[#This Row],[explanation1]]="WP",1,IF(DataTable[[#This Row],[explanation2]]="WP",1,0))</f>
        <v>0</v>
      </c>
      <c r="AF343" s="18">
        <f>IF(DataTable[[#This Row],[explanation1]]="BR",1,IF(DataTable[[#This Row],[explanation2]]="BR",1,0))</f>
        <v>0</v>
      </c>
      <c r="AG343" s="18">
        <f>IF(DataTable[[#This Row],[explanation1]]="LS",1,IF(DataTable[[#This Row],[explanation2]]="LS",1,0))</f>
        <v>0</v>
      </c>
      <c r="AH343" s="30" t="s">
        <v>6</v>
      </c>
    </row>
    <row r="344" spans="1:34" x14ac:dyDescent="0.2">
      <c r="A344" s="22">
        <v>342</v>
      </c>
      <c r="B344" s="23" t="s">
        <v>70</v>
      </c>
      <c r="C344" s="24" t="s">
        <v>74</v>
      </c>
      <c r="D344" s="25">
        <v>50</v>
      </c>
      <c r="E344" s="23" t="s">
        <v>46</v>
      </c>
      <c r="F344" s="25">
        <v>53</v>
      </c>
      <c r="G344" s="23" t="s">
        <v>47</v>
      </c>
      <c r="H344" s="24" t="s">
        <v>48</v>
      </c>
      <c r="I344" s="25" t="str">
        <f t="shared" si="5"/>
        <v>R</v>
      </c>
      <c r="J344" s="23" t="s">
        <v>78</v>
      </c>
      <c r="K344" s="25" t="s">
        <v>49</v>
      </c>
      <c r="L344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344" s="24">
        <f>IF(DataTable[[#This Row],[3x head (H)/tail (T)?]]=DataTable[[#This Row],[then 4th: H/T/B/0]],1,0)</f>
        <v>0</v>
      </c>
      <c r="N344" s="24">
        <f>IF(DataTable[[#This Row],[then 4th: H/T/B/0]]="B",1,0)</f>
        <v>0</v>
      </c>
      <c r="O344" s="23" t="s">
        <v>335</v>
      </c>
      <c r="P344" s="24">
        <v>14</v>
      </c>
      <c r="Q344" s="168" t="s">
        <v>118</v>
      </c>
      <c r="R344" s="25" t="s">
        <v>58</v>
      </c>
      <c r="S344" s="27" t="s">
        <v>61</v>
      </c>
      <c r="T344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4</v>
      </c>
      <c r="U344" s="28" t="s">
        <v>330</v>
      </c>
      <c r="V344" s="29" t="s">
        <v>6</v>
      </c>
      <c r="W344" s="29"/>
      <c r="X344" s="27"/>
      <c r="Y344" s="27">
        <f>IF(DataTable[[#This Row],[explanation1]]="BL",1,IF(DataTable[[#This Row],[explanation2]]="BL",1,IF(DataTable[[#This Row],[explanation1]]="BR",1,IF(DataTable[[#This Row],[explanation2]]="BR",1,0))))</f>
        <v>1</v>
      </c>
      <c r="Z344" s="18">
        <f>IF(DataTable[[#This Row],[explanation1]]="BL",1,IF(DataTable[[#This Row],[explanation2]]="BL",1,0))</f>
        <v>1</v>
      </c>
      <c r="AA344" s="18">
        <f>IF(DataTable[[#This Row],[explanation1]]="WJ",1,IF(DataTable[[#This Row],[explanation2]]="WJ",1,0))</f>
        <v>0</v>
      </c>
      <c r="AB344" s="18">
        <f>IF(DataTable[[#This Row],[explanation1]]="U",1,IF(DataTable[[#This Row],[explanation2]]="U",1,0))</f>
        <v>0</v>
      </c>
      <c r="AC344" s="18">
        <f>IF(DataTable[[#This Row],[explanation1]]="O",1,IF(DataTable[[#This Row],[explanation2]]="O",1,0))</f>
        <v>0</v>
      </c>
      <c r="AD344" s="18">
        <f>IF(DataTable[[#This Row],[explanation1]]="TP",1,IF(DataTable[[#This Row],[explanation2]]="TP",1,0))</f>
        <v>0</v>
      </c>
      <c r="AE344" s="18">
        <f>IF(DataTable[[#This Row],[explanation1]]="WP",1,IF(DataTable[[#This Row],[explanation2]]="WP",1,0))</f>
        <v>0</v>
      </c>
      <c r="AF344" s="18">
        <f>IF(DataTable[[#This Row],[explanation1]]="BR",1,IF(DataTable[[#This Row],[explanation2]]="BR",1,0))</f>
        <v>0</v>
      </c>
      <c r="AG344" s="18">
        <f>IF(DataTable[[#This Row],[explanation1]]="LS",1,IF(DataTable[[#This Row],[explanation2]]="LS",1,0))</f>
        <v>0</v>
      </c>
      <c r="AH344" s="37" t="s">
        <v>6</v>
      </c>
    </row>
    <row r="345" spans="1:34" x14ac:dyDescent="0.2">
      <c r="A345" s="13">
        <v>343</v>
      </c>
      <c r="B345" s="14" t="s">
        <v>70</v>
      </c>
      <c r="C345" s="15" t="s">
        <v>74</v>
      </c>
      <c r="D345" s="16">
        <v>50</v>
      </c>
      <c r="E345" s="14" t="s">
        <v>58</v>
      </c>
      <c r="F345" s="16">
        <v>56</v>
      </c>
      <c r="G345" s="14" t="s">
        <v>70</v>
      </c>
      <c r="H345" s="15" t="s">
        <v>48</v>
      </c>
      <c r="I345" s="16" t="str">
        <f t="shared" si="5"/>
        <v>M5</v>
      </c>
      <c r="J345" s="14" t="s">
        <v>49</v>
      </c>
      <c r="K345" s="16" t="s">
        <v>78</v>
      </c>
      <c r="L345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345" s="15">
        <f>IF(DataTable[[#This Row],[3x head (H)/tail (T)?]]=DataTable[[#This Row],[then 4th: H/T/B/0]],1,0)</f>
        <v>0</v>
      </c>
      <c r="N345" s="15">
        <f>IF(DataTable[[#This Row],[then 4th: H/T/B/0]]="B",1,0)</f>
        <v>0</v>
      </c>
      <c r="O345" s="14" t="s">
        <v>327</v>
      </c>
      <c r="P345" s="15">
        <v>14</v>
      </c>
      <c r="Q345" s="169" t="s">
        <v>411</v>
      </c>
      <c r="R345" s="16" t="s">
        <v>58</v>
      </c>
      <c r="S345" s="18" t="s">
        <v>103</v>
      </c>
      <c r="T345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5</v>
      </c>
      <c r="U345" s="19" t="s">
        <v>347</v>
      </c>
      <c r="V345" s="20" t="s">
        <v>9</v>
      </c>
      <c r="W345" s="20"/>
      <c r="X345" s="18"/>
      <c r="Y345" s="18">
        <f>IF(DataTable[[#This Row],[explanation1]]="BL",1,IF(DataTable[[#This Row],[explanation2]]="BL",1,IF(DataTable[[#This Row],[explanation1]]="BR",1,IF(DataTable[[#This Row],[explanation2]]="BR",1,0))))</f>
        <v>0</v>
      </c>
      <c r="Z345" s="18">
        <f>IF(DataTable[[#This Row],[explanation1]]="BL",1,IF(DataTable[[#This Row],[explanation2]]="BL",1,0))</f>
        <v>0</v>
      </c>
      <c r="AA345" s="18">
        <f>IF(DataTable[[#This Row],[explanation1]]="WJ",1,IF(DataTable[[#This Row],[explanation2]]="WJ",1,0))</f>
        <v>0</v>
      </c>
      <c r="AB345" s="18">
        <f>IF(DataTable[[#This Row],[explanation1]]="U",1,IF(DataTable[[#This Row],[explanation2]]="U",1,0))</f>
        <v>0</v>
      </c>
      <c r="AC345" s="18">
        <f>IF(DataTable[[#This Row],[explanation1]]="O",1,IF(DataTable[[#This Row],[explanation2]]="O",1,0))</f>
        <v>1</v>
      </c>
      <c r="AD345" s="18">
        <f>IF(DataTable[[#This Row],[explanation1]]="TP",1,IF(DataTable[[#This Row],[explanation2]]="TP",1,0))</f>
        <v>0</v>
      </c>
      <c r="AE345" s="18">
        <f>IF(DataTable[[#This Row],[explanation1]]="WP",1,IF(DataTable[[#This Row],[explanation2]]="WP",1,0))</f>
        <v>0</v>
      </c>
      <c r="AF345" s="18">
        <f>IF(DataTable[[#This Row],[explanation1]]="BR",1,IF(DataTable[[#This Row],[explanation2]]="BR",1,0))</f>
        <v>0</v>
      </c>
      <c r="AG345" s="18">
        <f>IF(DataTable[[#This Row],[explanation1]]="LS",1,IF(DataTable[[#This Row],[explanation2]]="LS",1,0))</f>
        <v>0</v>
      </c>
      <c r="AH345" s="30" t="s">
        <v>9</v>
      </c>
    </row>
    <row r="346" spans="1:34" x14ac:dyDescent="0.2">
      <c r="A346" s="22">
        <v>344</v>
      </c>
      <c r="B346" s="23" t="s">
        <v>70</v>
      </c>
      <c r="C346" s="24" t="s">
        <v>74</v>
      </c>
      <c r="D346" s="25">
        <v>50</v>
      </c>
      <c r="E346" s="23" t="s">
        <v>46</v>
      </c>
      <c r="F346" s="25">
        <v>37</v>
      </c>
      <c r="G346" s="23" t="s">
        <v>47</v>
      </c>
      <c r="H346" s="24" t="s">
        <v>48</v>
      </c>
      <c r="I346" s="25" t="str">
        <f t="shared" si="5"/>
        <v>R</v>
      </c>
      <c r="J346" s="23" t="s">
        <v>78</v>
      </c>
      <c r="K346" s="25" t="s">
        <v>50</v>
      </c>
      <c r="L346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46" s="24">
        <f>IF(DataTable[[#This Row],[3x head (H)/tail (T)?]]=DataTable[[#This Row],[then 4th: H/T/B/0]],1,0)</f>
        <v>0</v>
      </c>
      <c r="N346" s="24">
        <f>IF(DataTable[[#This Row],[then 4th: H/T/B/0]]="B",1,0)</f>
        <v>1</v>
      </c>
      <c r="O346" s="23" t="s">
        <v>331</v>
      </c>
      <c r="P346" s="24">
        <v>21</v>
      </c>
      <c r="Q346" s="168" t="s">
        <v>118</v>
      </c>
      <c r="R346" s="25" t="s">
        <v>58</v>
      </c>
      <c r="S346" s="27" t="s">
        <v>65</v>
      </c>
      <c r="T346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346" s="28" t="s">
        <v>329</v>
      </c>
      <c r="V346" s="29" t="s">
        <v>6</v>
      </c>
      <c r="W346" s="29"/>
      <c r="X346" s="27"/>
      <c r="Y346" s="27">
        <f>IF(DataTable[[#This Row],[explanation1]]="BL",1,IF(DataTable[[#This Row],[explanation2]]="BL",1,IF(DataTable[[#This Row],[explanation1]]="BR",1,IF(DataTable[[#This Row],[explanation2]]="BR",1,0))))</f>
        <v>1</v>
      </c>
      <c r="Z346" s="18">
        <f>IF(DataTable[[#This Row],[explanation1]]="BL",1,IF(DataTable[[#This Row],[explanation2]]="BL",1,0))</f>
        <v>1</v>
      </c>
      <c r="AA346" s="18">
        <f>IF(DataTable[[#This Row],[explanation1]]="WJ",1,IF(DataTable[[#This Row],[explanation2]]="WJ",1,0))</f>
        <v>0</v>
      </c>
      <c r="AB346" s="18">
        <f>IF(DataTable[[#This Row],[explanation1]]="U",1,IF(DataTable[[#This Row],[explanation2]]="U",1,0))</f>
        <v>0</v>
      </c>
      <c r="AC346" s="18">
        <f>IF(DataTable[[#This Row],[explanation1]]="O",1,IF(DataTable[[#This Row],[explanation2]]="O",1,0))</f>
        <v>0</v>
      </c>
      <c r="AD346" s="18">
        <f>IF(DataTable[[#This Row],[explanation1]]="TP",1,IF(DataTable[[#This Row],[explanation2]]="TP",1,0))</f>
        <v>0</v>
      </c>
      <c r="AE346" s="18">
        <f>IF(DataTable[[#This Row],[explanation1]]="WP",1,IF(DataTable[[#This Row],[explanation2]]="WP",1,0))</f>
        <v>0</v>
      </c>
      <c r="AF346" s="18">
        <f>IF(DataTable[[#This Row],[explanation1]]="BR",1,IF(DataTable[[#This Row],[explanation2]]="BR",1,0))</f>
        <v>0</v>
      </c>
      <c r="AG346" s="18">
        <f>IF(DataTable[[#This Row],[explanation1]]="LS",1,IF(DataTable[[#This Row],[explanation2]]="LS",1,0))</f>
        <v>0</v>
      </c>
      <c r="AH346" s="37" t="s">
        <v>6</v>
      </c>
    </row>
    <row r="347" spans="1:34" x14ac:dyDescent="0.2">
      <c r="A347" s="13">
        <v>345</v>
      </c>
      <c r="B347" s="14" t="s">
        <v>70</v>
      </c>
      <c r="C347" s="15" t="s">
        <v>45</v>
      </c>
      <c r="D347" s="16">
        <v>1</v>
      </c>
      <c r="E347" s="14" t="s">
        <v>46</v>
      </c>
      <c r="F347" s="16">
        <v>28</v>
      </c>
      <c r="G347" s="14" t="s">
        <v>70</v>
      </c>
      <c r="H347" s="15" t="s">
        <v>48</v>
      </c>
      <c r="I347" s="16" t="str">
        <f t="shared" si="5"/>
        <v>M5</v>
      </c>
      <c r="J347" s="14" t="s">
        <v>78</v>
      </c>
      <c r="K347" s="16" t="s">
        <v>50</v>
      </c>
      <c r="L347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47" s="15">
        <f>IF(DataTable[[#This Row],[3x head (H)/tail (T)?]]=DataTable[[#This Row],[then 4th: H/T/B/0]],1,0)</f>
        <v>0</v>
      </c>
      <c r="N347" s="15">
        <f>IF(DataTable[[#This Row],[then 4th: H/T/B/0]]="B",1,0)</f>
        <v>1</v>
      </c>
      <c r="O347" s="14" t="s">
        <v>335</v>
      </c>
      <c r="P347" s="15">
        <v>14</v>
      </c>
      <c r="Q347" s="169" t="s">
        <v>118</v>
      </c>
      <c r="R347" s="16" t="s">
        <v>58</v>
      </c>
      <c r="S347" s="18" t="s">
        <v>61</v>
      </c>
      <c r="T347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4</v>
      </c>
      <c r="U347" s="19" t="s">
        <v>330</v>
      </c>
      <c r="V347" s="20" t="s">
        <v>11</v>
      </c>
      <c r="W347" s="20"/>
      <c r="X347" s="18"/>
      <c r="Y347" s="18">
        <f>IF(DataTable[[#This Row],[explanation1]]="BL",1,IF(DataTable[[#This Row],[explanation2]]="BL",1,IF(DataTable[[#This Row],[explanation1]]="BR",1,IF(DataTable[[#This Row],[explanation2]]="BR",1,0))))</f>
        <v>0</v>
      </c>
      <c r="Z347" s="18">
        <f>IF(DataTable[[#This Row],[explanation1]]="BL",1,IF(DataTable[[#This Row],[explanation2]]="BL",1,0))</f>
        <v>0</v>
      </c>
      <c r="AA347" s="18">
        <f>IF(DataTable[[#This Row],[explanation1]]="WJ",1,IF(DataTable[[#This Row],[explanation2]]="WJ",1,0))</f>
        <v>0</v>
      </c>
      <c r="AB347" s="18">
        <f>IF(DataTable[[#This Row],[explanation1]]="U",1,IF(DataTable[[#This Row],[explanation2]]="U",1,0))</f>
        <v>0</v>
      </c>
      <c r="AC347" s="18">
        <f>IF(DataTable[[#This Row],[explanation1]]="O",1,IF(DataTable[[#This Row],[explanation2]]="O",1,0))</f>
        <v>0</v>
      </c>
      <c r="AD347" s="18">
        <f>IF(DataTable[[#This Row],[explanation1]]="TP",1,IF(DataTable[[#This Row],[explanation2]]="TP",1,0))</f>
        <v>0</v>
      </c>
      <c r="AE347" s="18">
        <f>IF(DataTable[[#This Row],[explanation1]]="WP",1,IF(DataTable[[#This Row],[explanation2]]="WP",1,0))</f>
        <v>1</v>
      </c>
      <c r="AF347" s="18">
        <f>IF(DataTable[[#This Row],[explanation1]]="BR",1,IF(DataTable[[#This Row],[explanation2]]="BR",1,0))</f>
        <v>0</v>
      </c>
      <c r="AG347" s="18">
        <f>IF(DataTable[[#This Row],[explanation1]]="LS",1,IF(DataTable[[#This Row],[explanation2]]="LS",1,0))</f>
        <v>0</v>
      </c>
      <c r="AH347" s="30" t="s">
        <v>11</v>
      </c>
    </row>
    <row r="348" spans="1:34" x14ac:dyDescent="0.2">
      <c r="A348" s="22">
        <v>346</v>
      </c>
      <c r="B348" s="23" t="s">
        <v>70</v>
      </c>
      <c r="C348" s="24" t="s">
        <v>45</v>
      </c>
      <c r="D348" s="25">
        <v>1</v>
      </c>
      <c r="E348" s="23" t="s">
        <v>58</v>
      </c>
      <c r="F348" s="25">
        <v>22</v>
      </c>
      <c r="G348" s="23" t="s">
        <v>70</v>
      </c>
      <c r="H348" s="24" t="s">
        <v>48</v>
      </c>
      <c r="I348" s="25" t="str">
        <f t="shared" si="5"/>
        <v>M5</v>
      </c>
      <c r="J348" s="23" t="s">
        <v>78</v>
      </c>
      <c r="K348" s="25" t="s">
        <v>50</v>
      </c>
      <c r="L348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48" s="24">
        <f>IF(DataTable[[#This Row],[3x head (H)/tail (T)?]]=DataTable[[#This Row],[then 4th: H/T/B/0]],1,0)</f>
        <v>0</v>
      </c>
      <c r="N348" s="24">
        <f>IF(DataTable[[#This Row],[then 4th: H/T/B/0]]="B",1,0)</f>
        <v>1</v>
      </c>
      <c r="O348" s="23" t="s">
        <v>327</v>
      </c>
      <c r="P348" s="24">
        <v>21</v>
      </c>
      <c r="Q348" s="168" t="s">
        <v>411</v>
      </c>
      <c r="R348" s="25" t="s">
        <v>58</v>
      </c>
      <c r="S348" s="27" t="s">
        <v>75</v>
      </c>
      <c r="T348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48" s="28" t="s">
        <v>76</v>
      </c>
      <c r="V348" s="29" t="s">
        <v>7</v>
      </c>
      <c r="W348" s="29"/>
      <c r="X348" s="27"/>
      <c r="Y348" s="27">
        <f>IF(DataTable[[#This Row],[explanation1]]="BL",1,IF(DataTable[[#This Row],[explanation2]]="BL",1,IF(DataTable[[#This Row],[explanation1]]="BR",1,IF(DataTable[[#This Row],[explanation2]]="BR",1,0))))</f>
        <v>0</v>
      </c>
      <c r="Z348" s="18">
        <f>IF(DataTable[[#This Row],[explanation1]]="BL",1,IF(DataTable[[#This Row],[explanation2]]="BL",1,0))</f>
        <v>0</v>
      </c>
      <c r="AA348" s="18">
        <f>IF(DataTable[[#This Row],[explanation1]]="WJ",1,IF(DataTable[[#This Row],[explanation2]]="WJ",1,0))</f>
        <v>1</v>
      </c>
      <c r="AB348" s="18">
        <f>IF(DataTable[[#This Row],[explanation1]]="U",1,IF(DataTable[[#This Row],[explanation2]]="U",1,0))</f>
        <v>0</v>
      </c>
      <c r="AC348" s="18">
        <f>IF(DataTable[[#This Row],[explanation1]]="O",1,IF(DataTable[[#This Row],[explanation2]]="O",1,0))</f>
        <v>0</v>
      </c>
      <c r="AD348" s="18">
        <f>IF(DataTable[[#This Row],[explanation1]]="TP",1,IF(DataTable[[#This Row],[explanation2]]="TP",1,0))</f>
        <v>0</v>
      </c>
      <c r="AE348" s="18">
        <f>IF(DataTable[[#This Row],[explanation1]]="WP",1,IF(DataTable[[#This Row],[explanation2]]="WP",1,0))</f>
        <v>0</v>
      </c>
      <c r="AF348" s="18">
        <f>IF(DataTable[[#This Row],[explanation1]]="BR",1,IF(DataTable[[#This Row],[explanation2]]="BR",1,0))</f>
        <v>0</v>
      </c>
      <c r="AG348" s="18">
        <f>IF(DataTable[[#This Row],[explanation1]]="LS",1,IF(DataTable[[#This Row],[explanation2]]="LS",1,0))</f>
        <v>0</v>
      </c>
      <c r="AH348" s="37" t="s">
        <v>7</v>
      </c>
    </row>
    <row r="349" spans="1:34" x14ac:dyDescent="0.2">
      <c r="A349" s="13">
        <v>347</v>
      </c>
      <c r="B349" s="14" t="s">
        <v>70</v>
      </c>
      <c r="C349" s="15" t="s">
        <v>45</v>
      </c>
      <c r="D349" s="16">
        <v>1</v>
      </c>
      <c r="E349" s="14" t="s">
        <v>46</v>
      </c>
      <c r="F349" s="16">
        <v>39</v>
      </c>
      <c r="G349" s="14" t="s">
        <v>47</v>
      </c>
      <c r="H349" s="15" t="s">
        <v>48</v>
      </c>
      <c r="I349" s="16" t="str">
        <f t="shared" si="5"/>
        <v>R</v>
      </c>
      <c r="J349" s="14" t="s">
        <v>78</v>
      </c>
      <c r="K349" s="16" t="s">
        <v>50</v>
      </c>
      <c r="L349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49" s="15">
        <f>IF(DataTable[[#This Row],[3x head (H)/tail (T)?]]=DataTable[[#This Row],[then 4th: H/T/B/0]],1,0)</f>
        <v>0</v>
      </c>
      <c r="N349" s="15">
        <f>IF(DataTable[[#This Row],[then 4th: H/T/B/0]]="B",1,0)</f>
        <v>1</v>
      </c>
      <c r="O349" s="14" t="s">
        <v>331</v>
      </c>
      <c r="P349" s="15">
        <v>21</v>
      </c>
      <c r="Q349" s="169" t="s">
        <v>118</v>
      </c>
      <c r="R349" s="16" t="s">
        <v>58</v>
      </c>
      <c r="S349" s="18" t="s">
        <v>61</v>
      </c>
      <c r="T349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4</v>
      </c>
      <c r="U349" s="19" t="s">
        <v>226</v>
      </c>
      <c r="V349" s="20" t="s">
        <v>6</v>
      </c>
      <c r="W349" s="20"/>
      <c r="X349" s="18"/>
      <c r="Y349" s="18">
        <f>IF(DataTable[[#This Row],[explanation1]]="BL",1,IF(DataTable[[#This Row],[explanation2]]="BL",1,IF(DataTable[[#This Row],[explanation1]]="BR",1,IF(DataTable[[#This Row],[explanation2]]="BR",1,0))))</f>
        <v>1</v>
      </c>
      <c r="Z349" s="18">
        <f>IF(DataTable[[#This Row],[explanation1]]="BL",1,IF(DataTable[[#This Row],[explanation2]]="BL",1,0))</f>
        <v>1</v>
      </c>
      <c r="AA349" s="18">
        <f>IF(DataTable[[#This Row],[explanation1]]="WJ",1,IF(DataTable[[#This Row],[explanation2]]="WJ",1,0))</f>
        <v>0</v>
      </c>
      <c r="AB349" s="18">
        <f>IF(DataTable[[#This Row],[explanation1]]="U",1,IF(DataTable[[#This Row],[explanation2]]="U",1,0))</f>
        <v>0</v>
      </c>
      <c r="AC349" s="18">
        <f>IF(DataTable[[#This Row],[explanation1]]="O",1,IF(DataTable[[#This Row],[explanation2]]="O",1,0))</f>
        <v>0</v>
      </c>
      <c r="AD349" s="18">
        <f>IF(DataTable[[#This Row],[explanation1]]="TP",1,IF(DataTable[[#This Row],[explanation2]]="TP",1,0))</f>
        <v>0</v>
      </c>
      <c r="AE349" s="18">
        <f>IF(DataTable[[#This Row],[explanation1]]="WP",1,IF(DataTable[[#This Row],[explanation2]]="WP",1,0))</f>
        <v>0</v>
      </c>
      <c r="AF349" s="18">
        <f>IF(DataTable[[#This Row],[explanation1]]="BR",1,IF(DataTable[[#This Row],[explanation2]]="BR",1,0))</f>
        <v>0</v>
      </c>
      <c r="AG349" s="18">
        <f>IF(DataTable[[#This Row],[explanation1]]="LS",1,IF(DataTable[[#This Row],[explanation2]]="LS",1,0))</f>
        <v>0</v>
      </c>
      <c r="AH349" s="30" t="s">
        <v>6</v>
      </c>
    </row>
    <row r="350" spans="1:34" x14ac:dyDescent="0.2">
      <c r="A350" s="22">
        <v>348</v>
      </c>
      <c r="B350" s="23" t="s">
        <v>70</v>
      </c>
      <c r="C350" s="24" t="s">
        <v>45</v>
      </c>
      <c r="D350" s="25">
        <v>1</v>
      </c>
      <c r="E350" s="23" t="s">
        <v>46</v>
      </c>
      <c r="F350" s="25">
        <v>27</v>
      </c>
      <c r="G350" s="23" t="s">
        <v>47</v>
      </c>
      <c r="H350" s="24" t="s">
        <v>48</v>
      </c>
      <c r="I350" s="25" t="str">
        <f t="shared" si="5"/>
        <v>R</v>
      </c>
      <c r="J350" s="23" t="s">
        <v>49</v>
      </c>
      <c r="K350" s="25" t="s">
        <v>50</v>
      </c>
      <c r="L350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50" s="24">
        <f>IF(DataTable[[#This Row],[3x head (H)/tail (T)?]]=DataTable[[#This Row],[then 4th: H/T/B/0]],1,0)</f>
        <v>0</v>
      </c>
      <c r="N350" s="24">
        <f>IF(DataTable[[#This Row],[then 4th: H/T/B/0]]="B",1,0)</f>
        <v>1</v>
      </c>
      <c r="O350" s="23" t="s">
        <v>331</v>
      </c>
      <c r="P350" s="24">
        <v>21</v>
      </c>
      <c r="Q350" s="168" t="s">
        <v>411</v>
      </c>
      <c r="R350" s="25" t="s">
        <v>58</v>
      </c>
      <c r="S350" s="27" t="s">
        <v>75</v>
      </c>
      <c r="T350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50" s="28" t="s">
        <v>76</v>
      </c>
      <c r="V350" s="29" t="s">
        <v>6</v>
      </c>
      <c r="W350" s="29"/>
      <c r="X350" s="27"/>
      <c r="Y350" s="27">
        <f>IF(DataTable[[#This Row],[explanation1]]="BL",1,IF(DataTable[[#This Row],[explanation2]]="BL",1,IF(DataTable[[#This Row],[explanation1]]="BR",1,IF(DataTable[[#This Row],[explanation2]]="BR",1,0))))</f>
        <v>1</v>
      </c>
      <c r="Z350" s="18">
        <f>IF(DataTable[[#This Row],[explanation1]]="BL",1,IF(DataTable[[#This Row],[explanation2]]="BL",1,0))</f>
        <v>1</v>
      </c>
      <c r="AA350" s="18">
        <f>IF(DataTable[[#This Row],[explanation1]]="WJ",1,IF(DataTable[[#This Row],[explanation2]]="WJ",1,0))</f>
        <v>0</v>
      </c>
      <c r="AB350" s="18">
        <f>IF(DataTable[[#This Row],[explanation1]]="U",1,IF(DataTable[[#This Row],[explanation2]]="U",1,0))</f>
        <v>0</v>
      </c>
      <c r="AC350" s="18">
        <f>IF(DataTable[[#This Row],[explanation1]]="O",1,IF(DataTable[[#This Row],[explanation2]]="O",1,0))</f>
        <v>0</v>
      </c>
      <c r="AD350" s="18">
        <f>IF(DataTable[[#This Row],[explanation1]]="TP",1,IF(DataTable[[#This Row],[explanation2]]="TP",1,0))</f>
        <v>0</v>
      </c>
      <c r="AE350" s="18">
        <f>IF(DataTable[[#This Row],[explanation1]]="WP",1,IF(DataTable[[#This Row],[explanation2]]="WP",1,0))</f>
        <v>0</v>
      </c>
      <c r="AF350" s="18">
        <f>IF(DataTable[[#This Row],[explanation1]]="BR",1,IF(DataTable[[#This Row],[explanation2]]="BR",1,0))</f>
        <v>0</v>
      </c>
      <c r="AG350" s="18">
        <f>IF(DataTable[[#This Row],[explanation1]]="LS",1,IF(DataTable[[#This Row],[explanation2]]="LS",1,0))</f>
        <v>0</v>
      </c>
      <c r="AH350" s="37" t="s">
        <v>6</v>
      </c>
    </row>
    <row r="351" spans="1:34" x14ac:dyDescent="0.2">
      <c r="A351" s="13">
        <v>349</v>
      </c>
      <c r="B351" s="14" t="s">
        <v>70</v>
      </c>
      <c r="C351" s="15" t="s">
        <v>45</v>
      </c>
      <c r="D351" s="16">
        <v>1</v>
      </c>
      <c r="E351" s="14" t="s">
        <v>46</v>
      </c>
      <c r="F351" s="16">
        <v>24</v>
      </c>
      <c r="G351" s="14" t="s">
        <v>70</v>
      </c>
      <c r="H351" s="15" t="s">
        <v>48</v>
      </c>
      <c r="I351" s="16" t="str">
        <f t="shared" si="5"/>
        <v>M5</v>
      </c>
      <c r="J351" s="14" t="s">
        <v>49</v>
      </c>
      <c r="K351" s="16" t="s">
        <v>49</v>
      </c>
      <c r="L351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51" s="15">
        <f>IF(DataTable[[#This Row],[3x head (H)/tail (T)?]]=DataTable[[#This Row],[then 4th: H/T/B/0]],1,0)</f>
        <v>1</v>
      </c>
      <c r="N351" s="15">
        <f>IF(DataTable[[#This Row],[then 4th: H/T/B/0]]="B",1,0)</f>
        <v>0</v>
      </c>
      <c r="O351" s="14" t="s">
        <v>331</v>
      </c>
      <c r="P351" s="15">
        <v>21</v>
      </c>
      <c r="Q351" s="169" t="s">
        <v>71</v>
      </c>
      <c r="R351" s="16" t="s">
        <v>58</v>
      </c>
      <c r="S351" s="18" t="s">
        <v>54</v>
      </c>
      <c r="T351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351" s="19" t="s">
        <v>116</v>
      </c>
      <c r="V351" s="20" t="s">
        <v>6</v>
      </c>
      <c r="W351" s="20"/>
      <c r="X351" s="18"/>
      <c r="Y351" s="18">
        <f>IF(DataTable[[#This Row],[explanation1]]="BL",1,IF(DataTable[[#This Row],[explanation2]]="BL",1,IF(DataTable[[#This Row],[explanation1]]="BR",1,IF(DataTable[[#This Row],[explanation2]]="BR",1,0))))</f>
        <v>1</v>
      </c>
      <c r="Z351" s="18">
        <f>IF(DataTable[[#This Row],[explanation1]]="BL",1,IF(DataTable[[#This Row],[explanation2]]="BL",1,0))</f>
        <v>1</v>
      </c>
      <c r="AA351" s="18">
        <f>IF(DataTable[[#This Row],[explanation1]]="WJ",1,IF(DataTable[[#This Row],[explanation2]]="WJ",1,0))</f>
        <v>0</v>
      </c>
      <c r="AB351" s="18">
        <f>IF(DataTable[[#This Row],[explanation1]]="U",1,IF(DataTable[[#This Row],[explanation2]]="U",1,0))</f>
        <v>0</v>
      </c>
      <c r="AC351" s="18">
        <f>IF(DataTable[[#This Row],[explanation1]]="O",1,IF(DataTable[[#This Row],[explanation2]]="O",1,0))</f>
        <v>0</v>
      </c>
      <c r="AD351" s="18">
        <f>IF(DataTable[[#This Row],[explanation1]]="TP",1,IF(DataTable[[#This Row],[explanation2]]="TP",1,0))</f>
        <v>0</v>
      </c>
      <c r="AE351" s="18">
        <f>IF(DataTable[[#This Row],[explanation1]]="WP",1,IF(DataTable[[#This Row],[explanation2]]="WP",1,0))</f>
        <v>0</v>
      </c>
      <c r="AF351" s="18">
        <f>IF(DataTable[[#This Row],[explanation1]]="BR",1,IF(DataTable[[#This Row],[explanation2]]="BR",1,0))</f>
        <v>0</v>
      </c>
      <c r="AG351" s="18">
        <f>IF(DataTable[[#This Row],[explanation1]]="LS",1,IF(DataTable[[#This Row],[explanation2]]="LS",1,0))</f>
        <v>0</v>
      </c>
      <c r="AH351" s="30" t="s">
        <v>12</v>
      </c>
    </row>
    <row r="352" spans="1:34" x14ac:dyDescent="0.2">
      <c r="A352" s="22">
        <v>350</v>
      </c>
      <c r="B352" s="23" t="s">
        <v>70</v>
      </c>
      <c r="C352" s="24" t="s">
        <v>45</v>
      </c>
      <c r="D352" s="25">
        <v>1</v>
      </c>
      <c r="E352" s="23" t="s">
        <v>58</v>
      </c>
      <c r="F352" s="25">
        <v>28</v>
      </c>
      <c r="G352" s="23" t="s">
        <v>47</v>
      </c>
      <c r="H352" s="24" t="s">
        <v>48</v>
      </c>
      <c r="I352" s="25" t="str">
        <f t="shared" si="5"/>
        <v>R</v>
      </c>
      <c r="J352" s="23" t="s">
        <v>49</v>
      </c>
      <c r="K352" s="25" t="s">
        <v>78</v>
      </c>
      <c r="L352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352" s="24">
        <f>IF(DataTable[[#This Row],[3x head (H)/tail (T)?]]=DataTable[[#This Row],[then 4th: H/T/B/0]],1,0)</f>
        <v>0</v>
      </c>
      <c r="N352" s="24">
        <f>IF(DataTable[[#This Row],[then 4th: H/T/B/0]]="B",1,0)</f>
        <v>0</v>
      </c>
      <c r="O352" s="23" t="s">
        <v>331</v>
      </c>
      <c r="P352" s="24">
        <v>21</v>
      </c>
      <c r="Q352" s="168" t="s">
        <v>118</v>
      </c>
      <c r="R352" s="25" t="s">
        <v>58</v>
      </c>
      <c r="S352" s="27" t="s">
        <v>75</v>
      </c>
      <c r="T352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52" s="28" t="s">
        <v>76</v>
      </c>
      <c r="V352" s="29" t="s">
        <v>8</v>
      </c>
      <c r="W352" s="29"/>
      <c r="X352" s="27" t="s">
        <v>204</v>
      </c>
      <c r="Y352" s="27">
        <f>IF(DataTable[[#This Row],[explanation1]]="BL",1,IF(DataTable[[#This Row],[explanation2]]="BL",1,IF(DataTable[[#This Row],[explanation1]]="BR",1,IF(DataTable[[#This Row],[explanation2]]="BR",1,0))))</f>
        <v>0</v>
      </c>
      <c r="Z352" s="18">
        <f>IF(DataTable[[#This Row],[explanation1]]="BL",1,IF(DataTable[[#This Row],[explanation2]]="BL",1,0))</f>
        <v>0</v>
      </c>
      <c r="AA352" s="18">
        <f>IF(DataTable[[#This Row],[explanation1]]="WJ",1,IF(DataTable[[#This Row],[explanation2]]="WJ",1,0))</f>
        <v>0</v>
      </c>
      <c r="AB352" s="18">
        <f>IF(DataTable[[#This Row],[explanation1]]="U",1,IF(DataTable[[#This Row],[explanation2]]="U",1,0))</f>
        <v>1</v>
      </c>
      <c r="AC352" s="18">
        <f>IF(DataTable[[#This Row],[explanation1]]="O",1,IF(DataTable[[#This Row],[explanation2]]="O",1,0))</f>
        <v>0</v>
      </c>
      <c r="AD352" s="18">
        <f>IF(DataTable[[#This Row],[explanation1]]="TP",1,IF(DataTable[[#This Row],[explanation2]]="TP",1,0))</f>
        <v>0</v>
      </c>
      <c r="AE352" s="18">
        <f>IF(DataTable[[#This Row],[explanation1]]="WP",1,IF(DataTable[[#This Row],[explanation2]]="WP",1,0))</f>
        <v>0</v>
      </c>
      <c r="AF352" s="18">
        <f>IF(DataTable[[#This Row],[explanation1]]="BR",1,IF(DataTable[[#This Row],[explanation2]]="BR",1,0))</f>
        <v>0</v>
      </c>
      <c r="AG352" s="18">
        <f>IF(DataTable[[#This Row],[explanation1]]="LS",1,IF(DataTable[[#This Row],[explanation2]]="LS",1,0))</f>
        <v>0</v>
      </c>
      <c r="AH352" s="37" t="s">
        <v>348</v>
      </c>
    </row>
    <row r="353" spans="1:34" x14ac:dyDescent="0.2">
      <c r="A353" s="13">
        <v>351</v>
      </c>
      <c r="B353" s="14" t="s">
        <v>70</v>
      </c>
      <c r="C353" s="15" t="s">
        <v>45</v>
      </c>
      <c r="D353" s="16">
        <v>50</v>
      </c>
      <c r="E353" s="14" t="s">
        <v>58</v>
      </c>
      <c r="F353" s="16">
        <v>50</v>
      </c>
      <c r="G353" s="14" t="s">
        <v>47</v>
      </c>
      <c r="H353" s="15" t="s">
        <v>48</v>
      </c>
      <c r="I353" s="16" t="str">
        <f t="shared" si="5"/>
        <v>R</v>
      </c>
      <c r="J353" s="14" t="s">
        <v>78</v>
      </c>
      <c r="K353" s="16" t="s">
        <v>49</v>
      </c>
      <c r="L353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353" s="15">
        <f>IF(DataTable[[#This Row],[3x head (H)/tail (T)?]]=DataTable[[#This Row],[then 4th: H/T/B/0]],1,0)</f>
        <v>0</v>
      </c>
      <c r="N353" s="15">
        <f>IF(DataTable[[#This Row],[then 4th: H/T/B/0]]="B",1,0)</f>
        <v>0</v>
      </c>
      <c r="O353" s="14" t="s">
        <v>335</v>
      </c>
      <c r="P353" s="15">
        <v>14</v>
      </c>
      <c r="Q353" s="169" t="s">
        <v>118</v>
      </c>
      <c r="R353" s="16" t="s">
        <v>58</v>
      </c>
      <c r="S353" s="18" t="s">
        <v>61</v>
      </c>
      <c r="T353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4</v>
      </c>
      <c r="U353" s="19" t="s">
        <v>173</v>
      </c>
      <c r="V353" s="20" t="s">
        <v>9</v>
      </c>
      <c r="W353" s="20"/>
      <c r="X353" s="18"/>
      <c r="Y353" s="18">
        <f>IF(DataTable[[#This Row],[explanation1]]="BL",1,IF(DataTable[[#This Row],[explanation2]]="BL",1,IF(DataTable[[#This Row],[explanation1]]="BR",1,IF(DataTable[[#This Row],[explanation2]]="BR",1,0))))</f>
        <v>0</v>
      </c>
      <c r="Z353" s="18">
        <f>IF(DataTable[[#This Row],[explanation1]]="BL",1,IF(DataTable[[#This Row],[explanation2]]="BL",1,0))</f>
        <v>0</v>
      </c>
      <c r="AA353" s="18">
        <f>IF(DataTable[[#This Row],[explanation1]]="WJ",1,IF(DataTable[[#This Row],[explanation2]]="WJ",1,0))</f>
        <v>0</v>
      </c>
      <c r="AB353" s="18">
        <f>IF(DataTable[[#This Row],[explanation1]]="U",1,IF(DataTable[[#This Row],[explanation2]]="U",1,0))</f>
        <v>0</v>
      </c>
      <c r="AC353" s="18">
        <f>IF(DataTable[[#This Row],[explanation1]]="O",1,IF(DataTable[[#This Row],[explanation2]]="O",1,0))</f>
        <v>1</v>
      </c>
      <c r="AD353" s="18">
        <f>IF(DataTable[[#This Row],[explanation1]]="TP",1,IF(DataTable[[#This Row],[explanation2]]="TP",1,0))</f>
        <v>0</v>
      </c>
      <c r="AE353" s="18">
        <f>IF(DataTable[[#This Row],[explanation1]]="WP",1,IF(DataTable[[#This Row],[explanation2]]="WP",1,0))</f>
        <v>0</v>
      </c>
      <c r="AF353" s="18">
        <f>IF(DataTable[[#This Row],[explanation1]]="BR",1,IF(DataTable[[#This Row],[explanation2]]="BR",1,0))</f>
        <v>0</v>
      </c>
      <c r="AG353" s="18">
        <f>IF(DataTable[[#This Row],[explanation1]]="LS",1,IF(DataTable[[#This Row],[explanation2]]="LS",1,0))</f>
        <v>0</v>
      </c>
      <c r="AH353" s="30" t="s">
        <v>9</v>
      </c>
    </row>
    <row r="354" spans="1:34" x14ac:dyDescent="0.2">
      <c r="A354" s="22">
        <v>352</v>
      </c>
      <c r="B354" s="23" t="s">
        <v>70</v>
      </c>
      <c r="C354" s="24" t="s">
        <v>45</v>
      </c>
      <c r="D354" s="25">
        <v>50</v>
      </c>
      <c r="E354" s="23" t="s">
        <v>58</v>
      </c>
      <c r="F354" s="25">
        <v>62</v>
      </c>
      <c r="G354" s="23" t="s">
        <v>47</v>
      </c>
      <c r="H354" s="24" t="s">
        <v>48</v>
      </c>
      <c r="I354" s="25" t="str">
        <f t="shared" si="5"/>
        <v>R</v>
      </c>
      <c r="J354" s="23" t="s">
        <v>78</v>
      </c>
      <c r="K354" s="25" t="s">
        <v>78</v>
      </c>
      <c r="L354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54" s="24">
        <f>IF(DataTable[[#This Row],[3x head (H)/tail (T)?]]=DataTable[[#This Row],[then 4th: H/T/B/0]],1,0)</f>
        <v>1</v>
      </c>
      <c r="N354" s="24">
        <f>IF(DataTable[[#This Row],[then 4th: H/T/B/0]]="B",1,0)</f>
        <v>0</v>
      </c>
      <c r="O354" s="23" t="s">
        <v>335</v>
      </c>
      <c r="P354" s="24">
        <v>14</v>
      </c>
      <c r="Q354" s="168" t="s">
        <v>118</v>
      </c>
      <c r="R354" s="25" t="s">
        <v>58</v>
      </c>
      <c r="S354" s="27" t="s">
        <v>65</v>
      </c>
      <c r="T354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354" s="28" t="s">
        <v>329</v>
      </c>
      <c r="V354" s="29" t="s">
        <v>6</v>
      </c>
      <c r="W354" s="29"/>
      <c r="X354" s="27"/>
      <c r="Y354" s="27">
        <f>IF(DataTable[[#This Row],[explanation1]]="BL",1,IF(DataTable[[#This Row],[explanation2]]="BL",1,IF(DataTable[[#This Row],[explanation1]]="BR",1,IF(DataTable[[#This Row],[explanation2]]="BR",1,0))))</f>
        <v>1</v>
      </c>
      <c r="Z354" s="18">
        <f>IF(DataTable[[#This Row],[explanation1]]="BL",1,IF(DataTable[[#This Row],[explanation2]]="BL",1,0))</f>
        <v>1</v>
      </c>
      <c r="AA354" s="18">
        <f>IF(DataTable[[#This Row],[explanation1]]="WJ",1,IF(DataTable[[#This Row],[explanation2]]="WJ",1,0))</f>
        <v>0</v>
      </c>
      <c r="AB354" s="18">
        <f>IF(DataTable[[#This Row],[explanation1]]="U",1,IF(DataTable[[#This Row],[explanation2]]="U",1,0))</f>
        <v>0</v>
      </c>
      <c r="AC354" s="18">
        <f>IF(DataTable[[#This Row],[explanation1]]="O",1,IF(DataTable[[#This Row],[explanation2]]="O",1,0))</f>
        <v>0</v>
      </c>
      <c r="AD354" s="18">
        <f>IF(DataTable[[#This Row],[explanation1]]="TP",1,IF(DataTable[[#This Row],[explanation2]]="TP",1,0))</f>
        <v>0</v>
      </c>
      <c r="AE354" s="18">
        <f>IF(DataTable[[#This Row],[explanation1]]="WP",1,IF(DataTable[[#This Row],[explanation2]]="WP",1,0))</f>
        <v>0</v>
      </c>
      <c r="AF354" s="18">
        <f>IF(DataTable[[#This Row],[explanation1]]="BR",1,IF(DataTable[[#This Row],[explanation2]]="BR",1,0))</f>
        <v>0</v>
      </c>
      <c r="AG354" s="18">
        <f>IF(DataTable[[#This Row],[explanation1]]="LS",1,IF(DataTable[[#This Row],[explanation2]]="LS",1,0))</f>
        <v>0</v>
      </c>
      <c r="AH354" s="37" t="s">
        <v>6</v>
      </c>
    </row>
    <row r="355" spans="1:34" x14ac:dyDescent="0.2">
      <c r="A355" s="13">
        <v>353</v>
      </c>
      <c r="B355" s="14" t="s">
        <v>70</v>
      </c>
      <c r="C355" s="15" t="s">
        <v>45</v>
      </c>
      <c r="D355" s="16">
        <v>50</v>
      </c>
      <c r="E355" s="14" t="s">
        <v>58</v>
      </c>
      <c r="F355" s="16">
        <v>25</v>
      </c>
      <c r="G355" s="14" t="s">
        <v>47</v>
      </c>
      <c r="H355" s="15" t="s">
        <v>48</v>
      </c>
      <c r="I355" s="16" t="str">
        <f t="shared" si="5"/>
        <v>R</v>
      </c>
      <c r="J355" s="14" t="s">
        <v>49</v>
      </c>
      <c r="K355" s="16" t="s">
        <v>78</v>
      </c>
      <c r="L355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355" s="15">
        <f>IF(DataTable[[#This Row],[3x head (H)/tail (T)?]]=DataTable[[#This Row],[then 4th: H/T/B/0]],1,0)</f>
        <v>0</v>
      </c>
      <c r="N355" s="15">
        <f>IF(DataTable[[#This Row],[then 4th: H/T/B/0]]="B",1,0)</f>
        <v>0</v>
      </c>
      <c r="O355" s="14" t="s">
        <v>335</v>
      </c>
      <c r="P355" s="15">
        <v>14</v>
      </c>
      <c r="Q355" s="169" t="s">
        <v>118</v>
      </c>
      <c r="R355" s="16" t="s">
        <v>58</v>
      </c>
      <c r="S355" s="18" t="s">
        <v>75</v>
      </c>
      <c r="T355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55" s="19" t="s">
        <v>76</v>
      </c>
      <c r="V355" s="20" t="s">
        <v>9</v>
      </c>
      <c r="W355" s="20"/>
      <c r="X355" s="18"/>
      <c r="Y355" s="18">
        <f>IF(DataTable[[#This Row],[explanation1]]="BL",1,IF(DataTable[[#This Row],[explanation2]]="BL",1,IF(DataTable[[#This Row],[explanation1]]="BR",1,IF(DataTable[[#This Row],[explanation2]]="BR",1,0))))</f>
        <v>0</v>
      </c>
      <c r="Z355" s="18">
        <f>IF(DataTable[[#This Row],[explanation1]]="BL",1,IF(DataTable[[#This Row],[explanation2]]="BL",1,0))</f>
        <v>0</v>
      </c>
      <c r="AA355" s="18">
        <f>IF(DataTable[[#This Row],[explanation1]]="WJ",1,IF(DataTable[[#This Row],[explanation2]]="WJ",1,0))</f>
        <v>0</v>
      </c>
      <c r="AB355" s="18">
        <f>IF(DataTable[[#This Row],[explanation1]]="U",1,IF(DataTable[[#This Row],[explanation2]]="U",1,0))</f>
        <v>0</v>
      </c>
      <c r="AC355" s="18">
        <f>IF(DataTable[[#This Row],[explanation1]]="O",1,IF(DataTable[[#This Row],[explanation2]]="O",1,0))</f>
        <v>1</v>
      </c>
      <c r="AD355" s="18">
        <f>IF(DataTable[[#This Row],[explanation1]]="TP",1,IF(DataTable[[#This Row],[explanation2]]="TP",1,0))</f>
        <v>0</v>
      </c>
      <c r="AE355" s="18">
        <f>IF(DataTable[[#This Row],[explanation1]]="WP",1,IF(DataTable[[#This Row],[explanation2]]="WP",1,0))</f>
        <v>0</v>
      </c>
      <c r="AF355" s="18">
        <f>IF(DataTable[[#This Row],[explanation1]]="BR",1,IF(DataTable[[#This Row],[explanation2]]="BR",1,0))</f>
        <v>0</v>
      </c>
      <c r="AG355" s="18">
        <f>IF(DataTable[[#This Row],[explanation1]]="LS",1,IF(DataTable[[#This Row],[explanation2]]="LS",1,0))</f>
        <v>0</v>
      </c>
      <c r="AH355" s="30" t="s">
        <v>9</v>
      </c>
    </row>
    <row r="356" spans="1:34" x14ac:dyDescent="0.2">
      <c r="A356" s="22">
        <v>354</v>
      </c>
      <c r="B356" s="23" t="s">
        <v>70</v>
      </c>
      <c r="C356" s="24" t="s">
        <v>45</v>
      </c>
      <c r="D356" s="25">
        <v>50</v>
      </c>
      <c r="E356" s="23" t="s">
        <v>58</v>
      </c>
      <c r="F356" s="25">
        <v>25</v>
      </c>
      <c r="G356" s="23" t="s">
        <v>47</v>
      </c>
      <c r="H356" s="24" t="s">
        <v>48</v>
      </c>
      <c r="I356" s="25" t="str">
        <f t="shared" si="5"/>
        <v>R</v>
      </c>
      <c r="J356" s="23" t="s">
        <v>49</v>
      </c>
      <c r="K356" s="25" t="s">
        <v>50</v>
      </c>
      <c r="L356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56" s="24">
        <f>IF(DataTable[[#This Row],[3x head (H)/tail (T)?]]=DataTable[[#This Row],[then 4th: H/T/B/0]],1,0)</f>
        <v>0</v>
      </c>
      <c r="N356" s="24">
        <f>IF(DataTable[[#This Row],[then 4th: H/T/B/0]]="B",1,0)</f>
        <v>1</v>
      </c>
      <c r="O356" s="23" t="s">
        <v>335</v>
      </c>
      <c r="P356" s="24">
        <v>14</v>
      </c>
      <c r="Q356" s="168" t="s">
        <v>118</v>
      </c>
      <c r="R356" s="25" t="s">
        <v>58</v>
      </c>
      <c r="S356" s="27" t="s">
        <v>75</v>
      </c>
      <c r="T356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56" s="28" t="s">
        <v>76</v>
      </c>
      <c r="V356" s="29" t="s">
        <v>6</v>
      </c>
      <c r="W356" s="29"/>
      <c r="X356" s="27"/>
      <c r="Y356" s="27">
        <f>IF(DataTable[[#This Row],[explanation1]]="BL",1,IF(DataTable[[#This Row],[explanation2]]="BL",1,IF(DataTable[[#This Row],[explanation1]]="BR",1,IF(DataTable[[#This Row],[explanation2]]="BR",1,0))))</f>
        <v>1</v>
      </c>
      <c r="Z356" s="18">
        <f>IF(DataTable[[#This Row],[explanation1]]="BL",1,IF(DataTable[[#This Row],[explanation2]]="BL",1,0))</f>
        <v>1</v>
      </c>
      <c r="AA356" s="18">
        <f>IF(DataTable[[#This Row],[explanation1]]="WJ",1,IF(DataTable[[#This Row],[explanation2]]="WJ",1,0))</f>
        <v>0</v>
      </c>
      <c r="AB356" s="18">
        <f>IF(DataTable[[#This Row],[explanation1]]="U",1,IF(DataTable[[#This Row],[explanation2]]="U",1,0))</f>
        <v>0</v>
      </c>
      <c r="AC356" s="18">
        <f>IF(DataTable[[#This Row],[explanation1]]="O",1,IF(DataTable[[#This Row],[explanation2]]="O",1,0))</f>
        <v>0</v>
      </c>
      <c r="AD356" s="18">
        <f>IF(DataTable[[#This Row],[explanation1]]="TP",1,IF(DataTable[[#This Row],[explanation2]]="TP",1,0))</f>
        <v>0</v>
      </c>
      <c r="AE356" s="18">
        <f>IF(DataTable[[#This Row],[explanation1]]="WP",1,IF(DataTable[[#This Row],[explanation2]]="WP",1,0))</f>
        <v>0</v>
      </c>
      <c r="AF356" s="18">
        <f>IF(DataTable[[#This Row],[explanation1]]="BR",1,IF(DataTable[[#This Row],[explanation2]]="BR",1,0))</f>
        <v>0</v>
      </c>
      <c r="AG356" s="18">
        <f>IF(DataTable[[#This Row],[explanation1]]="LS",1,IF(DataTable[[#This Row],[explanation2]]="LS",1,0))</f>
        <v>0</v>
      </c>
      <c r="AH356" s="37" t="s">
        <v>6</v>
      </c>
    </row>
    <row r="357" spans="1:34" x14ac:dyDescent="0.2">
      <c r="A357" s="13">
        <v>355</v>
      </c>
      <c r="B357" s="14" t="s">
        <v>70</v>
      </c>
      <c r="C357" s="15" t="s">
        <v>45</v>
      </c>
      <c r="D357" s="16">
        <v>50</v>
      </c>
      <c r="E357" s="14" t="s">
        <v>58</v>
      </c>
      <c r="F357" s="16">
        <v>26</v>
      </c>
      <c r="G357" s="14" t="s">
        <v>47</v>
      </c>
      <c r="H357" s="15" t="s">
        <v>48</v>
      </c>
      <c r="I357" s="16" t="str">
        <f t="shared" si="5"/>
        <v>R</v>
      </c>
      <c r="J357" s="14" t="s">
        <v>78</v>
      </c>
      <c r="K357" s="16" t="s">
        <v>49</v>
      </c>
      <c r="L357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357" s="15">
        <f>IF(DataTable[[#This Row],[3x head (H)/tail (T)?]]=DataTable[[#This Row],[then 4th: H/T/B/0]],1,0)</f>
        <v>0</v>
      </c>
      <c r="N357" s="15">
        <f>IF(DataTable[[#This Row],[then 4th: H/T/B/0]]="B",1,0)</f>
        <v>0</v>
      </c>
      <c r="O357" s="14" t="s">
        <v>331</v>
      </c>
      <c r="P357" s="15">
        <v>21</v>
      </c>
      <c r="Q357" s="169" t="s">
        <v>118</v>
      </c>
      <c r="R357" s="16" t="s">
        <v>58</v>
      </c>
      <c r="S357" s="18" t="s">
        <v>75</v>
      </c>
      <c r="T357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57" s="19" t="s">
        <v>76</v>
      </c>
      <c r="V357" s="20" t="s">
        <v>6</v>
      </c>
      <c r="W357" s="20"/>
      <c r="X357" s="18"/>
      <c r="Y357" s="18">
        <f>IF(DataTable[[#This Row],[explanation1]]="BL",1,IF(DataTable[[#This Row],[explanation2]]="BL",1,IF(DataTable[[#This Row],[explanation1]]="BR",1,IF(DataTable[[#This Row],[explanation2]]="BR",1,0))))</f>
        <v>1</v>
      </c>
      <c r="Z357" s="18">
        <f>IF(DataTable[[#This Row],[explanation1]]="BL",1,IF(DataTable[[#This Row],[explanation2]]="BL",1,0))</f>
        <v>1</v>
      </c>
      <c r="AA357" s="18">
        <f>IF(DataTable[[#This Row],[explanation1]]="WJ",1,IF(DataTable[[#This Row],[explanation2]]="WJ",1,0))</f>
        <v>0</v>
      </c>
      <c r="AB357" s="18">
        <f>IF(DataTable[[#This Row],[explanation1]]="U",1,IF(DataTable[[#This Row],[explanation2]]="U",1,0))</f>
        <v>0</v>
      </c>
      <c r="AC357" s="18">
        <f>IF(DataTable[[#This Row],[explanation1]]="O",1,IF(DataTable[[#This Row],[explanation2]]="O",1,0))</f>
        <v>0</v>
      </c>
      <c r="AD357" s="18">
        <f>IF(DataTable[[#This Row],[explanation1]]="TP",1,IF(DataTable[[#This Row],[explanation2]]="TP",1,0))</f>
        <v>0</v>
      </c>
      <c r="AE357" s="18">
        <f>IF(DataTable[[#This Row],[explanation1]]="WP",1,IF(DataTable[[#This Row],[explanation2]]="WP",1,0))</f>
        <v>0</v>
      </c>
      <c r="AF357" s="18">
        <f>IF(DataTable[[#This Row],[explanation1]]="BR",1,IF(DataTable[[#This Row],[explanation2]]="BR",1,0))</f>
        <v>0</v>
      </c>
      <c r="AG357" s="18">
        <f>IF(DataTable[[#This Row],[explanation1]]="LS",1,IF(DataTable[[#This Row],[explanation2]]="LS",1,0))</f>
        <v>0</v>
      </c>
      <c r="AH357" s="30" t="s">
        <v>6</v>
      </c>
    </row>
    <row r="358" spans="1:34" x14ac:dyDescent="0.2">
      <c r="A358" s="22">
        <v>356</v>
      </c>
      <c r="B358" s="23" t="s">
        <v>70</v>
      </c>
      <c r="C358" s="24" t="s">
        <v>45</v>
      </c>
      <c r="D358" s="25">
        <v>50</v>
      </c>
      <c r="E358" s="23" t="s">
        <v>46</v>
      </c>
      <c r="F358" s="25">
        <v>21</v>
      </c>
      <c r="G358" s="23" t="s">
        <v>70</v>
      </c>
      <c r="H358" s="24" t="s">
        <v>81</v>
      </c>
      <c r="I358" s="25" t="str">
        <f t="shared" si="5"/>
        <v>R</v>
      </c>
      <c r="J358" s="23" t="s">
        <v>78</v>
      </c>
      <c r="K358" s="25" t="s">
        <v>78</v>
      </c>
      <c r="L358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58" s="24">
        <f>IF(DataTable[[#This Row],[3x head (H)/tail (T)?]]=DataTable[[#This Row],[then 4th: H/T/B/0]],1,0)</f>
        <v>1</v>
      </c>
      <c r="N358" s="24">
        <f>IF(DataTable[[#This Row],[then 4th: H/T/B/0]]="B",1,0)</f>
        <v>0</v>
      </c>
      <c r="O358" s="23" t="s">
        <v>331</v>
      </c>
      <c r="P358" s="24">
        <v>21</v>
      </c>
      <c r="Q358" s="168" t="s">
        <v>118</v>
      </c>
      <c r="R358" s="25" t="s">
        <v>58</v>
      </c>
      <c r="S358" s="27" t="s">
        <v>75</v>
      </c>
      <c r="T358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58" s="28" t="s">
        <v>76</v>
      </c>
      <c r="V358" s="29" t="s">
        <v>7</v>
      </c>
      <c r="W358" s="29"/>
      <c r="X358" s="27"/>
      <c r="Y358" s="27">
        <f>IF(DataTable[[#This Row],[explanation1]]="BL",1,IF(DataTable[[#This Row],[explanation2]]="BL",1,IF(DataTable[[#This Row],[explanation1]]="BR",1,IF(DataTable[[#This Row],[explanation2]]="BR",1,0))))</f>
        <v>0</v>
      </c>
      <c r="Z358" s="18">
        <f>IF(DataTable[[#This Row],[explanation1]]="BL",1,IF(DataTable[[#This Row],[explanation2]]="BL",1,0))</f>
        <v>0</v>
      </c>
      <c r="AA358" s="18">
        <f>IF(DataTable[[#This Row],[explanation1]]="WJ",1,IF(DataTable[[#This Row],[explanation2]]="WJ",1,0))</f>
        <v>1</v>
      </c>
      <c r="AB358" s="18">
        <f>IF(DataTable[[#This Row],[explanation1]]="U",1,IF(DataTable[[#This Row],[explanation2]]="U",1,0))</f>
        <v>0</v>
      </c>
      <c r="AC358" s="18">
        <f>IF(DataTable[[#This Row],[explanation1]]="O",1,IF(DataTable[[#This Row],[explanation2]]="O",1,0))</f>
        <v>0</v>
      </c>
      <c r="AD358" s="18">
        <f>IF(DataTable[[#This Row],[explanation1]]="TP",1,IF(DataTable[[#This Row],[explanation2]]="TP",1,0))</f>
        <v>0</v>
      </c>
      <c r="AE358" s="18">
        <f>IF(DataTable[[#This Row],[explanation1]]="WP",1,IF(DataTable[[#This Row],[explanation2]]="WP",1,0))</f>
        <v>0</v>
      </c>
      <c r="AF358" s="18">
        <f>IF(DataTable[[#This Row],[explanation1]]="BR",1,IF(DataTable[[#This Row],[explanation2]]="BR",1,0))</f>
        <v>0</v>
      </c>
      <c r="AG358" s="18">
        <f>IF(DataTable[[#This Row],[explanation1]]="LS",1,IF(DataTable[[#This Row],[explanation2]]="LS",1,0))</f>
        <v>0</v>
      </c>
      <c r="AH358" s="37" t="s">
        <v>7</v>
      </c>
    </row>
    <row r="359" spans="1:34" x14ac:dyDescent="0.2">
      <c r="A359" s="13">
        <v>357</v>
      </c>
      <c r="B359" s="167" t="s">
        <v>57</v>
      </c>
      <c r="C359" s="167" t="s">
        <v>74</v>
      </c>
      <c r="D359" s="167">
        <v>1</v>
      </c>
      <c r="E359" s="14" t="s">
        <v>58</v>
      </c>
      <c r="F359" s="16">
        <v>48</v>
      </c>
      <c r="G359" s="14" t="s">
        <v>47</v>
      </c>
      <c r="H359" s="15" t="s">
        <v>48</v>
      </c>
      <c r="I359" s="16" t="str">
        <f t="shared" si="5"/>
        <v>R</v>
      </c>
      <c r="J359" s="167" t="s">
        <v>49</v>
      </c>
      <c r="K359" s="16" t="s">
        <v>50</v>
      </c>
      <c r="L359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59" s="15">
        <f>IF(DataTable[[#This Row],[3x head (H)/tail (T)?]]=DataTable[[#This Row],[then 4th: H/T/B/0]],1,0)</f>
        <v>0</v>
      </c>
      <c r="N359" s="15">
        <f>IF(DataTable[[#This Row],[then 4th: H/T/B/0]]="B",1,0)</f>
        <v>1</v>
      </c>
      <c r="O359" s="14" t="s">
        <v>436</v>
      </c>
      <c r="P359" s="167">
        <v>14</v>
      </c>
      <c r="Q359" s="169" t="s">
        <v>71</v>
      </c>
      <c r="R359" s="16" t="s">
        <v>58</v>
      </c>
      <c r="S359" s="18" t="s">
        <v>75</v>
      </c>
      <c r="T359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59" s="19" t="s">
        <v>76</v>
      </c>
      <c r="V359" s="20" t="s">
        <v>11</v>
      </c>
      <c r="W359" s="20" t="s">
        <v>6</v>
      </c>
      <c r="X359" s="18"/>
      <c r="Y359" s="18">
        <f>IF(DataTable[[#This Row],[explanation1]]="BL",1,IF(DataTable[[#This Row],[explanation2]]="BL",1,IF(DataTable[[#This Row],[explanation1]]="BR",1,IF(DataTable[[#This Row],[explanation2]]="BR",1,0))))</f>
        <v>1</v>
      </c>
      <c r="Z359" s="18">
        <f>IF(DataTable[[#This Row],[explanation1]]="BL",1,IF(DataTable[[#This Row],[explanation2]]="BL",1,0))</f>
        <v>1</v>
      </c>
      <c r="AA359" s="18">
        <f>IF(DataTable[[#This Row],[explanation1]]="WJ",1,IF(DataTable[[#This Row],[explanation2]]="WJ",1,0))</f>
        <v>0</v>
      </c>
      <c r="AB359" s="18">
        <f>IF(DataTable[[#This Row],[explanation1]]="U",1,IF(DataTable[[#This Row],[explanation2]]="U",1,0))</f>
        <v>0</v>
      </c>
      <c r="AC359" s="18">
        <f>IF(DataTable[[#This Row],[explanation1]]="O",1,IF(DataTable[[#This Row],[explanation2]]="O",1,0))</f>
        <v>0</v>
      </c>
      <c r="AD359" s="18">
        <f>IF(DataTable[[#This Row],[explanation1]]="TP",1,IF(DataTable[[#This Row],[explanation2]]="TP",1,0))</f>
        <v>0</v>
      </c>
      <c r="AE359" s="18">
        <f>IF(DataTable[[#This Row],[explanation1]]="WP",1,IF(DataTable[[#This Row],[explanation2]]="WP",1,0))</f>
        <v>1</v>
      </c>
      <c r="AF359" s="18">
        <f>IF(DataTable[[#This Row],[explanation1]]="BR",1,IF(DataTable[[#This Row],[explanation2]]="BR",1,0))</f>
        <v>0</v>
      </c>
      <c r="AG359" s="18">
        <f>IF(DataTable[[#This Row],[explanation1]]="LS",1,IF(DataTable[[#This Row],[explanation2]]="LS",1,0))</f>
        <v>0</v>
      </c>
      <c r="AH359" s="45" t="s">
        <v>412</v>
      </c>
    </row>
    <row r="360" spans="1:34" x14ac:dyDescent="0.2">
      <c r="A360" s="22">
        <v>358</v>
      </c>
      <c r="B360" s="167" t="s">
        <v>57</v>
      </c>
      <c r="C360" s="167" t="s">
        <v>45</v>
      </c>
      <c r="D360" s="167">
        <v>50</v>
      </c>
      <c r="E360" s="23" t="s">
        <v>46</v>
      </c>
      <c r="F360" s="25">
        <v>68</v>
      </c>
      <c r="G360" s="23" t="s">
        <v>57</v>
      </c>
      <c r="H360" s="24" t="s">
        <v>48</v>
      </c>
      <c r="I360" s="25" t="str">
        <f t="shared" si="5"/>
        <v>H1</v>
      </c>
      <c r="J360" s="167" t="s">
        <v>49</v>
      </c>
      <c r="K360" s="25" t="s">
        <v>49</v>
      </c>
      <c r="L360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60" s="24">
        <f>IF(DataTable[[#This Row],[3x head (H)/tail (T)?]]=DataTable[[#This Row],[then 4th: H/T/B/0]],1,0)</f>
        <v>1</v>
      </c>
      <c r="N360" s="24">
        <f>IF(DataTable[[#This Row],[then 4th: H/T/B/0]]="B",1,0)</f>
        <v>0</v>
      </c>
      <c r="O360" s="14" t="s">
        <v>436</v>
      </c>
      <c r="P360" s="167">
        <v>14</v>
      </c>
      <c r="Q360" s="168" t="s">
        <v>71</v>
      </c>
      <c r="R360" s="25" t="s">
        <v>58</v>
      </c>
      <c r="S360" s="27" t="s">
        <v>75</v>
      </c>
      <c r="T360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60" s="28" t="s">
        <v>76</v>
      </c>
      <c r="V360" s="29" t="s">
        <v>8</v>
      </c>
      <c r="W360" s="29"/>
      <c r="X360" s="27"/>
      <c r="Y360" s="27">
        <f>IF(DataTable[[#This Row],[explanation1]]="BL",1,IF(DataTable[[#This Row],[explanation2]]="BL",1,IF(DataTable[[#This Row],[explanation1]]="BR",1,IF(DataTable[[#This Row],[explanation2]]="BR",1,0))))</f>
        <v>0</v>
      </c>
      <c r="Z360" s="18">
        <f>IF(DataTable[[#This Row],[explanation1]]="BL",1,IF(DataTable[[#This Row],[explanation2]]="BL",1,0))</f>
        <v>0</v>
      </c>
      <c r="AA360" s="18">
        <f>IF(DataTable[[#This Row],[explanation1]]="WJ",1,IF(DataTable[[#This Row],[explanation2]]="WJ",1,0))</f>
        <v>0</v>
      </c>
      <c r="AB360" s="18">
        <f>IF(DataTable[[#This Row],[explanation1]]="U",1,IF(DataTable[[#This Row],[explanation2]]="U",1,0))</f>
        <v>1</v>
      </c>
      <c r="AC360" s="18">
        <f>IF(DataTable[[#This Row],[explanation1]]="O",1,IF(DataTable[[#This Row],[explanation2]]="O",1,0))</f>
        <v>0</v>
      </c>
      <c r="AD360" s="18">
        <f>IF(DataTable[[#This Row],[explanation1]]="TP",1,IF(DataTable[[#This Row],[explanation2]]="TP",1,0))</f>
        <v>0</v>
      </c>
      <c r="AE360" s="18">
        <f>IF(DataTable[[#This Row],[explanation1]]="WP",1,IF(DataTable[[#This Row],[explanation2]]="WP",1,0))</f>
        <v>0</v>
      </c>
      <c r="AF360" s="18">
        <f>IF(DataTable[[#This Row],[explanation1]]="BR",1,IF(DataTable[[#This Row],[explanation2]]="BR",1,0))</f>
        <v>0</v>
      </c>
      <c r="AG360" s="18">
        <f>IF(DataTable[[#This Row],[explanation1]]="LS",1,IF(DataTable[[#This Row],[explanation2]]="LS",1,0))</f>
        <v>0</v>
      </c>
      <c r="AH360" s="45" t="s">
        <v>8</v>
      </c>
    </row>
    <row r="361" spans="1:34" x14ac:dyDescent="0.2">
      <c r="A361" s="13">
        <v>359</v>
      </c>
      <c r="B361" s="167" t="s">
        <v>68</v>
      </c>
      <c r="C361" s="167" t="s">
        <v>74</v>
      </c>
      <c r="D361" s="167">
        <v>50</v>
      </c>
      <c r="E361" s="14" t="s">
        <v>58</v>
      </c>
      <c r="F361" s="16">
        <v>68</v>
      </c>
      <c r="G361" s="14" t="s">
        <v>47</v>
      </c>
      <c r="H361" s="15" t="s">
        <v>48</v>
      </c>
      <c r="I361" s="16" t="str">
        <f t="shared" si="5"/>
        <v>R</v>
      </c>
      <c r="J361" s="167" t="s">
        <v>78</v>
      </c>
      <c r="K361" s="16" t="s">
        <v>49</v>
      </c>
      <c r="L361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361" s="15">
        <f>IF(DataTable[[#This Row],[3x head (H)/tail (T)?]]=DataTable[[#This Row],[then 4th: H/T/B/0]],1,0)</f>
        <v>0</v>
      </c>
      <c r="N361" s="15">
        <f>IF(DataTable[[#This Row],[then 4th: H/T/B/0]]="B",1,0)</f>
        <v>0</v>
      </c>
      <c r="O361" s="14" t="s">
        <v>436</v>
      </c>
      <c r="P361" s="167">
        <v>14</v>
      </c>
      <c r="Q361" s="169" t="s">
        <v>71</v>
      </c>
      <c r="R361" s="16" t="s">
        <v>58</v>
      </c>
      <c r="S361" s="18" t="s">
        <v>75</v>
      </c>
      <c r="T361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61" s="19" t="s">
        <v>76</v>
      </c>
      <c r="V361" s="20" t="s">
        <v>8</v>
      </c>
      <c r="W361" s="20"/>
      <c r="X361" s="18"/>
      <c r="Y361" s="18">
        <f>IF(DataTable[[#This Row],[explanation1]]="BL",1,IF(DataTable[[#This Row],[explanation2]]="BL",1,IF(DataTable[[#This Row],[explanation1]]="BR",1,IF(DataTable[[#This Row],[explanation2]]="BR",1,0))))</f>
        <v>0</v>
      </c>
      <c r="Z361" s="18">
        <f>IF(DataTable[[#This Row],[explanation1]]="BL",1,IF(DataTable[[#This Row],[explanation2]]="BL",1,0))</f>
        <v>0</v>
      </c>
      <c r="AA361" s="18">
        <f>IF(DataTable[[#This Row],[explanation1]]="WJ",1,IF(DataTable[[#This Row],[explanation2]]="WJ",1,0))</f>
        <v>0</v>
      </c>
      <c r="AB361" s="18">
        <f>IF(DataTable[[#This Row],[explanation1]]="U",1,IF(DataTable[[#This Row],[explanation2]]="U",1,0))</f>
        <v>1</v>
      </c>
      <c r="AC361" s="18">
        <f>IF(DataTable[[#This Row],[explanation1]]="O",1,IF(DataTable[[#This Row],[explanation2]]="O",1,0))</f>
        <v>0</v>
      </c>
      <c r="AD361" s="18">
        <f>IF(DataTable[[#This Row],[explanation1]]="TP",1,IF(DataTable[[#This Row],[explanation2]]="TP",1,0))</f>
        <v>0</v>
      </c>
      <c r="AE361" s="18">
        <f>IF(DataTable[[#This Row],[explanation1]]="WP",1,IF(DataTable[[#This Row],[explanation2]]="WP",1,0))</f>
        <v>0</v>
      </c>
      <c r="AF361" s="18">
        <f>IF(DataTable[[#This Row],[explanation1]]="BR",1,IF(DataTable[[#This Row],[explanation2]]="BR",1,0))</f>
        <v>0</v>
      </c>
      <c r="AG361" s="18">
        <f>IF(DataTable[[#This Row],[explanation1]]="LS",1,IF(DataTable[[#This Row],[explanation2]]="LS",1,0))</f>
        <v>0</v>
      </c>
      <c r="AH361" s="45" t="s">
        <v>413</v>
      </c>
    </row>
    <row r="362" spans="1:34" x14ac:dyDescent="0.2">
      <c r="A362" s="22">
        <v>360</v>
      </c>
      <c r="B362" s="167" t="s">
        <v>68</v>
      </c>
      <c r="C362" s="167" t="s">
        <v>45</v>
      </c>
      <c r="D362" s="167">
        <v>1</v>
      </c>
      <c r="E362" s="23" t="s">
        <v>46</v>
      </c>
      <c r="F362" s="25">
        <v>24</v>
      </c>
      <c r="G362" s="23" t="s">
        <v>47</v>
      </c>
      <c r="H362" s="24" t="s">
        <v>81</v>
      </c>
      <c r="I362" s="25" t="str">
        <f t="shared" si="5"/>
        <v>H5</v>
      </c>
      <c r="J362" s="167" t="s">
        <v>49</v>
      </c>
      <c r="K362" s="25" t="s">
        <v>78</v>
      </c>
      <c r="L362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362" s="24">
        <f>IF(DataTable[[#This Row],[3x head (H)/tail (T)?]]=DataTable[[#This Row],[then 4th: H/T/B/0]],1,0)</f>
        <v>0</v>
      </c>
      <c r="N362" s="24">
        <f>IF(DataTable[[#This Row],[then 4th: H/T/B/0]]="B",1,0)</f>
        <v>0</v>
      </c>
      <c r="O362" s="23" t="s">
        <v>436</v>
      </c>
      <c r="P362" s="167">
        <v>14</v>
      </c>
      <c r="Q362" s="168" t="s">
        <v>71</v>
      </c>
      <c r="R362" s="25" t="s">
        <v>58</v>
      </c>
      <c r="S362" s="27" t="s">
        <v>75</v>
      </c>
      <c r="T362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62" s="28" t="s">
        <v>76</v>
      </c>
      <c r="V362" s="29" t="s">
        <v>7</v>
      </c>
      <c r="W362" s="29"/>
      <c r="X362" s="27"/>
      <c r="Y362" s="27">
        <f>IF(DataTable[[#This Row],[explanation1]]="BL",1,IF(DataTable[[#This Row],[explanation2]]="BL",1,IF(DataTable[[#This Row],[explanation1]]="BR",1,IF(DataTable[[#This Row],[explanation2]]="BR",1,0))))</f>
        <v>0</v>
      </c>
      <c r="Z362" s="18">
        <f>IF(DataTable[[#This Row],[explanation1]]="BL",1,IF(DataTable[[#This Row],[explanation2]]="BL",1,0))</f>
        <v>0</v>
      </c>
      <c r="AA362" s="18">
        <f>IF(DataTable[[#This Row],[explanation1]]="WJ",1,IF(DataTable[[#This Row],[explanation2]]="WJ",1,0))</f>
        <v>1</v>
      </c>
      <c r="AB362" s="18">
        <f>IF(DataTable[[#This Row],[explanation1]]="U",1,IF(DataTable[[#This Row],[explanation2]]="U",1,0))</f>
        <v>0</v>
      </c>
      <c r="AC362" s="18">
        <f>IF(DataTable[[#This Row],[explanation1]]="O",1,IF(DataTable[[#This Row],[explanation2]]="O",1,0))</f>
        <v>0</v>
      </c>
      <c r="AD362" s="18">
        <f>IF(DataTable[[#This Row],[explanation1]]="TP",1,IF(DataTable[[#This Row],[explanation2]]="TP",1,0))</f>
        <v>0</v>
      </c>
      <c r="AE362" s="18">
        <f>IF(DataTable[[#This Row],[explanation1]]="WP",1,IF(DataTable[[#This Row],[explanation2]]="WP",1,0))</f>
        <v>0</v>
      </c>
      <c r="AF362" s="18">
        <f>IF(DataTable[[#This Row],[explanation1]]="BR",1,IF(DataTable[[#This Row],[explanation2]]="BR",1,0))</f>
        <v>0</v>
      </c>
      <c r="AG362" s="18">
        <f>IF(DataTable[[#This Row],[explanation1]]="LS",1,IF(DataTable[[#This Row],[explanation2]]="LS",1,0))</f>
        <v>0</v>
      </c>
      <c r="AH362" s="45" t="s">
        <v>7</v>
      </c>
    </row>
    <row r="363" spans="1:34" x14ac:dyDescent="0.2">
      <c r="A363" s="13">
        <v>361</v>
      </c>
      <c r="B363" s="167" t="s">
        <v>44</v>
      </c>
      <c r="C363" s="167" t="s">
        <v>74</v>
      </c>
      <c r="D363" s="167">
        <v>1</v>
      </c>
      <c r="E363" s="14" t="s">
        <v>58</v>
      </c>
      <c r="F363" s="16">
        <v>35</v>
      </c>
      <c r="G363" s="14" t="s">
        <v>47</v>
      </c>
      <c r="H363" s="15" t="s">
        <v>48</v>
      </c>
      <c r="I363" s="16" t="str">
        <f t="shared" si="5"/>
        <v>R</v>
      </c>
      <c r="J363" s="167" t="s">
        <v>49</v>
      </c>
      <c r="K363" s="16" t="s">
        <v>78</v>
      </c>
      <c r="L363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363" s="15">
        <f>IF(DataTable[[#This Row],[3x head (H)/tail (T)?]]=DataTable[[#This Row],[then 4th: H/T/B/0]],1,0)</f>
        <v>0</v>
      </c>
      <c r="N363" s="15">
        <f>IF(DataTable[[#This Row],[then 4th: H/T/B/0]]="B",1,0)</f>
        <v>0</v>
      </c>
      <c r="O363" s="14" t="s">
        <v>436</v>
      </c>
      <c r="P363" s="167">
        <v>14</v>
      </c>
      <c r="Q363" s="169" t="s">
        <v>71</v>
      </c>
      <c r="R363" s="16" t="s">
        <v>58</v>
      </c>
      <c r="S363" s="18" t="s">
        <v>75</v>
      </c>
      <c r="T363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63" s="19" t="s">
        <v>76</v>
      </c>
      <c r="V363" s="20" t="s">
        <v>11</v>
      </c>
      <c r="W363" s="20"/>
      <c r="X363" s="18"/>
      <c r="Y363" s="18">
        <f>IF(DataTable[[#This Row],[explanation1]]="BL",1,IF(DataTable[[#This Row],[explanation2]]="BL",1,IF(DataTable[[#This Row],[explanation1]]="BR",1,IF(DataTable[[#This Row],[explanation2]]="BR",1,0))))</f>
        <v>0</v>
      </c>
      <c r="Z363" s="18">
        <f>IF(DataTable[[#This Row],[explanation1]]="BL",1,IF(DataTable[[#This Row],[explanation2]]="BL",1,0))</f>
        <v>0</v>
      </c>
      <c r="AA363" s="18">
        <f>IF(DataTable[[#This Row],[explanation1]]="WJ",1,IF(DataTable[[#This Row],[explanation2]]="WJ",1,0))</f>
        <v>0</v>
      </c>
      <c r="AB363" s="18">
        <f>IF(DataTable[[#This Row],[explanation1]]="U",1,IF(DataTable[[#This Row],[explanation2]]="U",1,0))</f>
        <v>0</v>
      </c>
      <c r="AC363" s="18">
        <f>IF(DataTable[[#This Row],[explanation1]]="O",1,IF(DataTable[[#This Row],[explanation2]]="O",1,0))</f>
        <v>0</v>
      </c>
      <c r="AD363" s="18">
        <f>IF(DataTable[[#This Row],[explanation1]]="TP",1,IF(DataTable[[#This Row],[explanation2]]="TP",1,0))</f>
        <v>0</v>
      </c>
      <c r="AE363" s="18">
        <f>IF(DataTable[[#This Row],[explanation1]]="WP",1,IF(DataTable[[#This Row],[explanation2]]="WP",1,0))</f>
        <v>1</v>
      </c>
      <c r="AF363" s="18">
        <f>IF(DataTable[[#This Row],[explanation1]]="BR",1,IF(DataTable[[#This Row],[explanation2]]="BR",1,0))</f>
        <v>0</v>
      </c>
      <c r="AG363" s="18">
        <f>IF(DataTable[[#This Row],[explanation1]]="LS",1,IF(DataTable[[#This Row],[explanation2]]="LS",1,0))</f>
        <v>0</v>
      </c>
      <c r="AH363" s="45" t="s">
        <v>11</v>
      </c>
    </row>
    <row r="364" spans="1:34" x14ac:dyDescent="0.2">
      <c r="A364" s="22">
        <v>362</v>
      </c>
      <c r="B364" s="167" t="s">
        <v>44</v>
      </c>
      <c r="C364" s="167" t="s">
        <v>45</v>
      </c>
      <c r="D364" s="167">
        <v>50</v>
      </c>
      <c r="E364" s="23" t="s">
        <v>58</v>
      </c>
      <c r="F364" s="25">
        <v>18</v>
      </c>
      <c r="G364" s="23" t="s">
        <v>47</v>
      </c>
      <c r="H364" s="24" t="s">
        <v>48</v>
      </c>
      <c r="I364" s="25" t="str">
        <f t="shared" si="5"/>
        <v>R</v>
      </c>
      <c r="J364" s="167" t="s">
        <v>49</v>
      </c>
      <c r="K364" s="25" t="s">
        <v>50</v>
      </c>
      <c r="L364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64" s="24">
        <f>IF(DataTable[[#This Row],[3x head (H)/tail (T)?]]=DataTable[[#This Row],[then 4th: H/T/B/0]],1,0)</f>
        <v>0</v>
      </c>
      <c r="N364" s="24">
        <f>IF(DataTable[[#This Row],[then 4th: H/T/B/0]]="B",1,0)</f>
        <v>1</v>
      </c>
      <c r="O364" s="23" t="s">
        <v>436</v>
      </c>
      <c r="P364" s="167">
        <v>14</v>
      </c>
      <c r="Q364" s="168" t="s">
        <v>71</v>
      </c>
      <c r="R364" s="25" t="s">
        <v>58</v>
      </c>
      <c r="S364" s="27" t="s">
        <v>75</v>
      </c>
      <c r="T364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64" s="28" t="s">
        <v>76</v>
      </c>
      <c r="V364" s="29" t="s">
        <v>6</v>
      </c>
      <c r="W364" s="29"/>
      <c r="X364" s="27"/>
      <c r="Y364" s="27">
        <f>IF(DataTable[[#This Row],[explanation1]]="BL",1,IF(DataTable[[#This Row],[explanation2]]="BL",1,IF(DataTable[[#This Row],[explanation1]]="BR",1,IF(DataTable[[#This Row],[explanation2]]="BR",1,0))))</f>
        <v>1</v>
      </c>
      <c r="Z364" s="18">
        <f>IF(DataTable[[#This Row],[explanation1]]="BL",1,IF(DataTable[[#This Row],[explanation2]]="BL",1,0))</f>
        <v>1</v>
      </c>
      <c r="AA364" s="18">
        <f>IF(DataTable[[#This Row],[explanation1]]="WJ",1,IF(DataTable[[#This Row],[explanation2]]="WJ",1,0))</f>
        <v>0</v>
      </c>
      <c r="AB364" s="18">
        <f>IF(DataTable[[#This Row],[explanation1]]="U",1,IF(DataTable[[#This Row],[explanation2]]="U",1,0))</f>
        <v>0</v>
      </c>
      <c r="AC364" s="18">
        <f>IF(DataTable[[#This Row],[explanation1]]="O",1,IF(DataTable[[#This Row],[explanation2]]="O",1,0))</f>
        <v>0</v>
      </c>
      <c r="AD364" s="18">
        <f>IF(DataTable[[#This Row],[explanation1]]="TP",1,IF(DataTable[[#This Row],[explanation2]]="TP",1,0))</f>
        <v>0</v>
      </c>
      <c r="AE364" s="18">
        <f>IF(DataTable[[#This Row],[explanation1]]="WP",1,IF(DataTable[[#This Row],[explanation2]]="WP",1,0))</f>
        <v>0</v>
      </c>
      <c r="AF364" s="18">
        <f>IF(DataTable[[#This Row],[explanation1]]="BR",1,IF(DataTable[[#This Row],[explanation2]]="BR",1,0))</f>
        <v>0</v>
      </c>
      <c r="AG364" s="18">
        <f>IF(DataTable[[#This Row],[explanation1]]="LS",1,IF(DataTable[[#This Row],[explanation2]]="LS",1,0))</f>
        <v>0</v>
      </c>
      <c r="AH364" s="45" t="s">
        <v>6</v>
      </c>
    </row>
    <row r="365" spans="1:34" x14ac:dyDescent="0.2">
      <c r="A365" s="13">
        <v>363</v>
      </c>
      <c r="B365" s="167" t="s">
        <v>44</v>
      </c>
      <c r="C365" s="167" t="s">
        <v>45</v>
      </c>
      <c r="D365" s="167">
        <v>50</v>
      </c>
      <c r="E365" s="14" t="s">
        <v>58</v>
      </c>
      <c r="F365" s="16">
        <v>19</v>
      </c>
      <c r="G365" s="14" t="s">
        <v>47</v>
      </c>
      <c r="H365" s="15" t="s">
        <v>48</v>
      </c>
      <c r="I365" s="16" t="str">
        <f t="shared" si="5"/>
        <v>R</v>
      </c>
      <c r="J365" s="167" t="s">
        <v>78</v>
      </c>
      <c r="K365" s="16" t="s">
        <v>49</v>
      </c>
      <c r="L365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365" s="15">
        <f>IF(DataTable[[#This Row],[3x head (H)/tail (T)?]]=DataTable[[#This Row],[then 4th: H/T/B/0]],1,0)</f>
        <v>0</v>
      </c>
      <c r="N365" s="15">
        <f>IF(DataTable[[#This Row],[then 4th: H/T/B/0]]="B",1,0)</f>
        <v>0</v>
      </c>
      <c r="O365" s="14" t="s">
        <v>436</v>
      </c>
      <c r="P365" s="167">
        <v>14</v>
      </c>
      <c r="Q365" s="169" t="s">
        <v>71</v>
      </c>
      <c r="R365" s="16" t="s">
        <v>58</v>
      </c>
      <c r="S365" s="18" t="s">
        <v>54</v>
      </c>
      <c r="T365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365" s="19" t="s">
        <v>116</v>
      </c>
      <c r="V365" s="20" t="s">
        <v>6</v>
      </c>
      <c r="W365" s="20"/>
      <c r="X365" s="18"/>
      <c r="Y365" s="18">
        <f>IF(DataTable[[#This Row],[explanation1]]="BL",1,IF(DataTable[[#This Row],[explanation2]]="BL",1,IF(DataTable[[#This Row],[explanation1]]="BR",1,IF(DataTable[[#This Row],[explanation2]]="BR",1,0))))</f>
        <v>1</v>
      </c>
      <c r="Z365" s="18">
        <f>IF(DataTable[[#This Row],[explanation1]]="BL",1,IF(DataTable[[#This Row],[explanation2]]="BL",1,0))</f>
        <v>1</v>
      </c>
      <c r="AA365" s="18">
        <f>IF(DataTable[[#This Row],[explanation1]]="WJ",1,IF(DataTable[[#This Row],[explanation2]]="WJ",1,0))</f>
        <v>0</v>
      </c>
      <c r="AB365" s="18">
        <f>IF(DataTable[[#This Row],[explanation1]]="U",1,IF(DataTable[[#This Row],[explanation2]]="U",1,0))</f>
        <v>0</v>
      </c>
      <c r="AC365" s="18">
        <f>IF(DataTable[[#This Row],[explanation1]]="O",1,IF(DataTable[[#This Row],[explanation2]]="O",1,0))</f>
        <v>0</v>
      </c>
      <c r="AD365" s="18">
        <f>IF(DataTable[[#This Row],[explanation1]]="TP",1,IF(DataTable[[#This Row],[explanation2]]="TP",1,0))</f>
        <v>0</v>
      </c>
      <c r="AE365" s="18">
        <f>IF(DataTable[[#This Row],[explanation1]]="WP",1,IF(DataTable[[#This Row],[explanation2]]="WP",1,0))</f>
        <v>0</v>
      </c>
      <c r="AF365" s="18">
        <f>IF(DataTable[[#This Row],[explanation1]]="BR",1,IF(DataTable[[#This Row],[explanation2]]="BR",1,0))</f>
        <v>0</v>
      </c>
      <c r="AG365" s="18">
        <f>IF(DataTable[[#This Row],[explanation1]]="LS",1,IF(DataTable[[#This Row],[explanation2]]="LS",1,0))</f>
        <v>0</v>
      </c>
      <c r="AH365" s="45" t="s">
        <v>6</v>
      </c>
    </row>
    <row r="366" spans="1:34" x14ac:dyDescent="0.2">
      <c r="A366" s="22">
        <v>364</v>
      </c>
      <c r="B366" s="167" t="s">
        <v>60</v>
      </c>
      <c r="C366" s="167" t="s">
        <v>74</v>
      </c>
      <c r="D366" s="167">
        <v>50</v>
      </c>
      <c r="E366" s="23" t="s">
        <v>46</v>
      </c>
      <c r="F366" s="25">
        <v>20</v>
      </c>
      <c r="G366" s="23" t="s">
        <v>47</v>
      </c>
      <c r="H366" s="24" t="s">
        <v>48</v>
      </c>
      <c r="I366" s="25" t="str">
        <f t="shared" si="5"/>
        <v>R</v>
      </c>
      <c r="J366" s="167" t="s">
        <v>49</v>
      </c>
      <c r="K366" s="25" t="s">
        <v>49</v>
      </c>
      <c r="L366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66" s="24">
        <f>IF(DataTable[[#This Row],[3x head (H)/tail (T)?]]=DataTable[[#This Row],[then 4th: H/T/B/0]],1,0)</f>
        <v>1</v>
      </c>
      <c r="N366" s="24">
        <f>IF(DataTable[[#This Row],[then 4th: H/T/B/0]]="B",1,0)</f>
        <v>0</v>
      </c>
      <c r="O366" s="23" t="s">
        <v>436</v>
      </c>
      <c r="P366" s="167">
        <v>14</v>
      </c>
      <c r="Q366" s="168" t="s">
        <v>71</v>
      </c>
      <c r="R366" s="25" t="s">
        <v>58</v>
      </c>
      <c r="S366" s="27" t="s">
        <v>75</v>
      </c>
      <c r="T366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66" s="28" t="s">
        <v>76</v>
      </c>
      <c r="V366" s="29" t="s">
        <v>6</v>
      </c>
      <c r="W366" s="29"/>
      <c r="X366" s="27"/>
      <c r="Y366" s="27">
        <f>IF(DataTable[[#This Row],[explanation1]]="BL",1,IF(DataTable[[#This Row],[explanation2]]="BL",1,IF(DataTable[[#This Row],[explanation1]]="BR",1,IF(DataTable[[#This Row],[explanation2]]="BR",1,0))))</f>
        <v>1</v>
      </c>
      <c r="Z366" s="18">
        <f>IF(DataTable[[#This Row],[explanation1]]="BL",1,IF(DataTable[[#This Row],[explanation2]]="BL",1,0))</f>
        <v>1</v>
      </c>
      <c r="AA366" s="18">
        <f>IF(DataTable[[#This Row],[explanation1]]="WJ",1,IF(DataTable[[#This Row],[explanation2]]="WJ",1,0))</f>
        <v>0</v>
      </c>
      <c r="AB366" s="18">
        <f>IF(DataTable[[#This Row],[explanation1]]="U",1,IF(DataTable[[#This Row],[explanation2]]="U",1,0))</f>
        <v>0</v>
      </c>
      <c r="AC366" s="18">
        <f>IF(DataTable[[#This Row],[explanation1]]="O",1,IF(DataTable[[#This Row],[explanation2]]="O",1,0))</f>
        <v>0</v>
      </c>
      <c r="AD366" s="18">
        <f>IF(DataTable[[#This Row],[explanation1]]="TP",1,IF(DataTable[[#This Row],[explanation2]]="TP",1,0))</f>
        <v>0</v>
      </c>
      <c r="AE366" s="18">
        <f>IF(DataTable[[#This Row],[explanation1]]="WP",1,IF(DataTable[[#This Row],[explanation2]]="WP",1,0))</f>
        <v>0</v>
      </c>
      <c r="AF366" s="18">
        <f>IF(DataTable[[#This Row],[explanation1]]="BR",1,IF(DataTable[[#This Row],[explanation2]]="BR",1,0))</f>
        <v>0</v>
      </c>
      <c r="AG366" s="18">
        <f>IF(DataTable[[#This Row],[explanation1]]="LS",1,IF(DataTable[[#This Row],[explanation2]]="LS",1,0))</f>
        <v>0</v>
      </c>
      <c r="AH366" s="45" t="s">
        <v>6</v>
      </c>
    </row>
    <row r="367" spans="1:34" x14ac:dyDescent="0.2">
      <c r="A367" s="13">
        <v>365</v>
      </c>
      <c r="B367" s="167" t="s">
        <v>60</v>
      </c>
      <c r="C367" s="167" t="s">
        <v>45</v>
      </c>
      <c r="D367" s="167">
        <v>1</v>
      </c>
      <c r="E367" s="14" t="s">
        <v>46</v>
      </c>
      <c r="F367" s="16">
        <v>20</v>
      </c>
      <c r="G367" s="14" t="s">
        <v>47</v>
      </c>
      <c r="H367" s="15" t="s">
        <v>48</v>
      </c>
      <c r="I367" s="16" t="str">
        <f t="shared" si="5"/>
        <v>R</v>
      </c>
      <c r="J367" s="167" t="s">
        <v>78</v>
      </c>
      <c r="K367" s="16" t="s">
        <v>49</v>
      </c>
      <c r="L367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367" s="15">
        <f>IF(DataTable[[#This Row],[3x head (H)/tail (T)?]]=DataTable[[#This Row],[then 4th: H/T/B/0]],1,0)</f>
        <v>0</v>
      </c>
      <c r="N367" s="15">
        <f>IF(DataTable[[#This Row],[then 4th: H/T/B/0]]="B",1,0)</f>
        <v>0</v>
      </c>
      <c r="O367" s="14" t="s">
        <v>436</v>
      </c>
      <c r="P367" s="167">
        <v>14</v>
      </c>
      <c r="Q367" s="169" t="s">
        <v>71</v>
      </c>
      <c r="R367" s="16" t="s">
        <v>58</v>
      </c>
      <c r="S367" s="18" t="s">
        <v>75</v>
      </c>
      <c r="T367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67" s="19" t="s">
        <v>76</v>
      </c>
      <c r="V367" s="20" t="s">
        <v>11</v>
      </c>
      <c r="W367" s="20"/>
      <c r="X367" s="18"/>
      <c r="Y367" s="18">
        <f>IF(DataTable[[#This Row],[explanation1]]="BL",1,IF(DataTable[[#This Row],[explanation2]]="BL",1,IF(DataTable[[#This Row],[explanation1]]="BR",1,IF(DataTable[[#This Row],[explanation2]]="BR",1,0))))</f>
        <v>0</v>
      </c>
      <c r="Z367" s="18">
        <f>IF(DataTable[[#This Row],[explanation1]]="BL",1,IF(DataTable[[#This Row],[explanation2]]="BL",1,0))</f>
        <v>0</v>
      </c>
      <c r="AA367" s="18">
        <f>IF(DataTable[[#This Row],[explanation1]]="WJ",1,IF(DataTable[[#This Row],[explanation2]]="WJ",1,0))</f>
        <v>0</v>
      </c>
      <c r="AB367" s="18">
        <f>IF(DataTable[[#This Row],[explanation1]]="U",1,IF(DataTable[[#This Row],[explanation2]]="U",1,0))</f>
        <v>0</v>
      </c>
      <c r="AC367" s="18">
        <f>IF(DataTable[[#This Row],[explanation1]]="O",1,IF(DataTable[[#This Row],[explanation2]]="O",1,0))</f>
        <v>0</v>
      </c>
      <c r="AD367" s="18">
        <f>IF(DataTable[[#This Row],[explanation1]]="TP",1,IF(DataTable[[#This Row],[explanation2]]="TP",1,0))</f>
        <v>0</v>
      </c>
      <c r="AE367" s="18">
        <f>IF(DataTable[[#This Row],[explanation1]]="WP",1,IF(DataTable[[#This Row],[explanation2]]="WP",1,0))</f>
        <v>1</v>
      </c>
      <c r="AF367" s="18">
        <f>IF(DataTable[[#This Row],[explanation1]]="BR",1,IF(DataTable[[#This Row],[explanation2]]="BR",1,0))</f>
        <v>0</v>
      </c>
      <c r="AG367" s="18">
        <f>IF(DataTable[[#This Row],[explanation1]]="LS",1,IF(DataTable[[#This Row],[explanation2]]="LS",1,0))</f>
        <v>0</v>
      </c>
      <c r="AH367" s="45" t="s">
        <v>11</v>
      </c>
    </row>
    <row r="368" spans="1:34" x14ac:dyDescent="0.2">
      <c r="A368" s="22">
        <v>366</v>
      </c>
      <c r="B368" s="167" t="s">
        <v>70</v>
      </c>
      <c r="C368" s="167" t="s">
        <v>74</v>
      </c>
      <c r="D368" s="167">
        <v>50</v>
      </c>
      <c r="E368" s="23" t="s">
        <v>58</v>
      </c>
      <c r="F368" s="25">
        <v>34</v>
      </c>
      <c r="G368" s="23" t="s">
        <v>70</v>
      </c>
      <c r="H368" s="24" t="s">
        <v>48</v>
      </c>
      <c r="I368" s="25" t="str">
        <f t="shared" si="5"/>
        <v>M5</v>
      </c>
      <c r="J368" s="167" t="s">
        <v>49</v>
      </c>
      <c r="K368" s="25" t="s">
        <v>50</v>
      </c>
      <c r="L368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68" s="24">
        <f>IF(DataTable[[#This Row],[3x head (H)/tail (T)?]]=DataTable[[#This Row],[then 4th: H/T/B/0]],1,0)</f>
        <v>0</v>
      </c>
      <c r="N368" s="24">
        <f>IF(DataTable[[#This Row],[then 4th: H/T/B/0]]="B",1,0)</f>
        <v>1</v>
      </c>
      <c r="O368" s="23" t="s">
        <v>436</v>
      </c>
      <c r="P368" s="167">
        <v>14</v>
      </c>
      <c r="Q368" s="168" t="s">
        <v>71</v>
      </c>
      <c r="R368" s="25" t="s">
        <v>58</v>
      </c>
      <c r="S368" s="27" t="s">
        <v>75</v>
      </c>
      <c r="T368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68" s="28" t="s">
        <v>76</v>
      </c>
      <c r="V368" s="29" t="s">
        <v>7</v>
      </c>
      <c r="W368" s="29"/>
      <c r="X368" s="27"/>
      <c r="Y368" s="27">
        <f>IF(DataTable[[#This Row],[explanation1]]="BL",1,IF(DataTable[[#This Row],[explanation2]]="BL",1,IF(DataTable[[#This Row],[explanation1]]="BR",1,IF(DataTable[[#This Row],[explanation2]]="BR",1,0))))</f>
        <v>0</v>
      </c>
      <c r="Z368" s="18">
        <f>IF(DataTable[[#This Row],[explanation1]]="BL",1,IF(DataTable[[#This Row],[explanation2]]="BL",1,0))</f>
        <v>0</v>
      </c>
      <c r="AA368" s="18">
        <f>IF(DataTable[[#This Row],[explanation1]]="WJ",1,IF(DataTable[[#This Row],[explanation2]]="WJ",1,0))</f>
        <v>1</v>
      </c>
      <c r="AB368" s="18">
        <f>IF(DataTable[[#This Row],[explanation1]]="U",1,IF(DataTable[[#This Row],[explanation2]]="U",1,0))</f>
        <v>0</v>
      </c>
      <c r="AC368" s="18">
        <f>IF(DataTable[[#This Row],[explanation1]]="O",1,IF(DataTable[[#This Row],[explanation2]]="O",1,0))</f>
        <v>0</v>
      </c>
      <c r="AD368" s="18">
        <f>IF(DataTable[[#This Row],[explanation1]]="TP",1,IF(DataTable[[#This Row],[explanation2]]="TP",1,0))</f>
        <v>0</v>
      </c>
      <c r="AE368" s="18">
        <f>IF(DataTable[[#This Row],[explanation1]]="WP",1,IF(DataTable[[#This Row],[explanation2]]="WP",1,0))</f>
        <v>0</v>
      </c>
      <c r="AF368" s="18">
        <f>IF(DataTable[[#This Row],[explanation1]]="BR",1,IF(DataTable[[#This Row],[explanation2]]="BR",1,0))</f>
        <v>0</v>
      </c>
      <c r="AG368" s="18">
        <f>IF(DataTable[[#This Row],[explanation1]]="LS",1,IF(DataTable[[#This Row],[explanation2]]="LS",1,0))</f>
        <v>0</v>
      </c>
      <c r="AH368" s="45" t="s">
        <v>7</v>
      </c>
    </row>
    <row r="369" spans="1:34" x14ac:dyDescent="0.2">
      <c r="A369" s="13">
        <v>367</v>
      </c>
      <c r="B369" s="167" t="s">
        <v>44</v>
      </c>
      <c r="C369" s="167" t="s">
        <v>74</v>
      </c>
      <c r="D369" s="167">
        <v>1</v>
      </c>
      <c r="E369" s="14" t="s">
        <v>58</v>
      </c>
      <c r="F369" s="16">
        <v>32</v>
      </c>
      <c r="G369" s="14" t="s">
        <v>47</v>
      </c>
      <c r="H369" s="15" t="s">
        <v>48</v>
      </c>
      <c r="I369" s="16" t="str">
        <f t="shared" si="5"/>
        <v>R</v>
      </c>
      <c r="J369" s="167" t="s">
        <v>49</v>
      </c>
      <c r="K369" s="16" t="s">
        <v>50</v>
      </c>
      <c r="L369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69" s="15">
        <f>IF(DataTable[[#This Row],[3x head (H)/tail (T)?]]=DataTable[[#This Row],[then 4th: H/T/B/0]],1,0)</f>
        <v>0</v>
      </c>
      <c r="N369" s="15">
        <f>IF(DataTable[[#This Row],[then 4th: H/T/B/0]]="B",1,0)</f>
        <v>1</v>
      </c>
      <c r="O369" s="14" t="s">
        <v>436</v>
      </c>
      <c r="P369" s="167">
        <v>21</v>
      </c>
      <c r="Q369" s="169" t="s">
        <v>71</v>
      </c>
      <c r="R369" s="16" t="s">
        <v>58</v>
      </c>
      <c r="S369" s="18" t="s">
        <v>54</v>
      </c>
      <c r="T369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369" s="19" t="s">
        <v>88</v>
      </c>
      <c r="V369" s="20" t="s">
        <v>6</v>
      </c>
      <c r="W369" s="20" t="s">
        <v>11</v>
      </c>
      <c r="X369" s="18"/>
      <c r="Y369" s="18">
        <f>IF(DataTable[[#This Row],[explanation1]]="BL",1,IF(DataTable[[#This Row],[explanation2]]="BL",1,IF(DataTable[[#This Row],[explanation1]]="BR",1,IF(DataTable[[#This Row],[explanation2]]="BR",1,0))))</f>
        <v>1</v>
      </c>
      <c r="Z369" s="18">
        <f>IF(DataTable[[#This Row],[explanation1]]="BL",1,IF(DataTable[[#This Row],[explanation2]]="BL",1,0))</f>
        <v>1</v>
      </c>
      <c r="AA369" s="18">
        <f>IF(DataTable[[#This Row],[explanation1]]="WJ",1,IF(DataTable[[#This Row],[explanation2]]="WJ",1,0))</f>
        <v>0</v>
      </c>
      <c r="AB369" s="18">
        <f>IF(DataTable[[#This Row],[explanation1]]="U",1,IF(DataTable[[#This Row],[explanation2]]="U",1,0))</f>
        <v>0</v>
      </c>
      <c r="AC369" s="18">
        <f>IF(DataTable[[#This Row],[explanation1]]="O",1,IF(DataTable[[#This Row],[explanation2]]="O",1,0))</f>
        <v>0</v>
      </c>
      <c r="AD369" s="18">
        <f>IF(DataTable[[#This Row],[explanation1]]="TP",1,IF(DataTable[[#This Row],[explanation2]]="TP",1,0))</f>
        <v>0</v>
      </c>
      <c r="AE369" s="18">
        <f>IF(DataTable[[#This Row],[explanation1]]="WP",1,IF(DataTable[[#This Row],[explanation2]]="WP",1,0))</f>
        <v>1</v>
      </c>
      <c r="AF369" s="18">
        <f>IF(DataTable[[#This Row],[explanation1]]="BR",1,IF(DataTable[[#This Row],[explanation2]]="BR",1,0))</f>
        <v>0</v>
      </c>
      <c r="AG369" s="18">
        <f>IF(DataTable[[#This Row],[explanation1]]="LS",1,IF(DataTable[[#This Row],[explanation2]]="LS",1,0))</f>
        <v>0</v>
      </c>
      <c r="AH369" s="45" t="s">
        <v>414</v>
      </c>
    </row>
    <row r="370" spans="1:34" x14ac:dyDescent="0.2">
      <c r="A370" s="22">
        <v>368</v>
      </c>
      <c r="B370" s="167" t="s">
        <v>44</v>
      </c>
      <c r="C370" s="167" t="s">
        <v>45</v>
      </c>
      <c r="D370" s="167">
        <v>1</v>
      </c>
      <c r="E370" s="23" t="s">
        <v>58</v>
      </c>
      <c r="F370" s="25">
        <v>51</v>
      </c>
      <c r="G370" s="23" t="s">
        <v>47</v>
      </c>
      <c r="H370" s="24" t="s">
        <v>48</v>
      </c>
      <c r="I370" s="25" t="str">
        <f t="shared" si="5"/>
        <v>R</v>
      </c>
      <c r="J370" s="167" t="s">
        <v>49</v>
      </c>
      <c r="K370" s="25" t="s">
        <v>78</v>
      </c>
      <c r="L370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370" s="24">
        <f>IF(DataTable[[#This Row],[3x head (H)/tail (T)?]]=DataTable[[#This Row],[then 4th: H/T/B/0]],1,0)</f>
        <v>0</v>
      </c>
      <c r="N370" s="24">
        <f>IF(DataTable[[#This Row],[then 4th: H/T/B/0]]="B",1,0)</f>
        <v>0</v>
      </c>
      <c r="O370" s="23" t="s">
        <v>436</v>
      </c>
      <c r="P370" s="167">
        <v>21</v>
      </c>
      <c r="Q370" s="168" t="s">
        <v>71</v>
      </c>
      <c r="R370" s="25" t="s">
        <v>58</v>
      </c>
      <c r="S370" s="27" t="s">
        <v>61</v>
      </c>
      <c r="T370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4</v>
      </c>
      <c r="U370" s="28" t="s">
        <v>173</v>
      </c>
      <c r="V370" s="29" t="s">
        <v>6</v>
      </c>
      <c r="W370" s="29"/>
      <c r="X370" s="27"/>
      <c r="Y370" s="27">
        <f>IF(DataTable[[#This Row],[explanation1]]="BL",1,IF(DataTable[[#This Row],[explanation2]]="BL",1,IF(DataTable[[#This Row],[explanation1]]="BR",1,IF(DataTable[[#This Row],[explanation2]]="BR",1,0))))</f>
        <v>1</v>
      </c>
      <c r="Z370" s="18">
        <f>IF(DataTable[[#This Row],[explanation1]]="BL",1,IF(DataTable[[#This Row],[explanation2]]="BL",1,0))</f>
        <v>1</v>
      </c>
      <c r="AA370" s="18">
        <f>IF(DataTable[[#This Row],[explanation1]]="WJ",1,IF(DataTable[[#This Row],[explanation2]]="WJ",1,0))</f>
        <v>0</v>
      </c>
      <c r="AB370" s="18">
        <f>IF(DataTable[[#This Row],[explanation1]]="U",1,IF(DataTable[[#This Row],[explanation2]]="U",1,0))</f>
        <v>0</v>
      </c>
      <c r="AC370" s="18">
        <f>IF(DataTable[[#This Row],[explanation1]]="O",1,IF(DataTable[[#This Row],[explanation2]]="O",1,0))</f>
        <v>0</v>
      </c>
      <c r="AD370" s="18">
        <f>IF(DataTable[[#This Row],[explanation1]]="TP",1,IF(DataTable[[#This Row],[explanation2]]="TP",1,0))</f>
        <v>0</v>
      </c>
      <c r="AE370" s="18">
        <f>IF(DataTable[[#This Row],[explanation1]]="WP",1,IF(DataTable[[#This Row],[explanation2]]="WP",1,0))</f>
        <v>0</v>
      </c>
      <c r="AF370" s="18">
        <f>IF(DataTable[[#This Row],[explanation1]]="BR",1,IF(DataTable[[#This Row],[explanation2]]="BR",1,0))</f>
        <v>0</v>
      </c>
      <c r="AG370" s="18">
        <f>IF(DataTable[[#This Row],[explanation1]]="LS",1,IF(DataTable[[#This Row],[explanation2]]="LS",1,0))</f>
        <v>0</v>
      </c>
      <c r="AH370" s="45" t="s">
        <v>6</v>
      </c>
    </row>
    <row r="371" spans="1:34" x14ac:dyDescent="0.2">
      <c r="A371" s="13">
        <v>369</v>
      </c>
      <c r="B371" s="167" t="s">
        <v>44</v>
      </c>
      <c r="C371" s="167" t="s">
        <v>45</v>
      </c>
      <c r="D371" s="167">
        <v>1</v>
      </c>
      <c r="E371" s="14" t="s">
        <v>46</v>
      </c>
      <c r="F371" s="16">
        <v>32</v>
      </c>
      <c r="G371" s="14" t="s">
        <v>47</v>
      </c>
      <c r="H371" s="15" t="s">
        <v>81</v>
      </c>
      <c r="I371" s="16" t="str">
        <f t="shared" si="5"/>
        <v>L1</v>
      </c>
      <c r="J371" s="167" t="s">
        <v>78</v>
      </c>
      <c r="K371" s="16" t="s">
        <v>50</v>
      </c>
      <c r="L371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71" s="15">
        <f>IF(DataTable[[#This Row],[3x head (H)/tail (T)?]]=DataTable[[#This Row],[then 4th: H/T/B/0]],1,0)</f>
        <v>0</v>
      </c>
      <c r="N371" s="15">
        <f>IF(DataTable[[#This Row],[then 4th: H/T/B/0]]="B",1,0)</f>
        <v>1</v>
      </c>
      <c r="O371" s="14" t="s">
        <v>436</v>
      </c>
      <c r="P371" s="167">
        <v>21</v>
      </c>
      <c r="Q371" s="169" t="s">
        <v>71</v>
      </c>
      <c r="R371" s="16" t="s">
        <v>58</v>
      </c>
      <c r="S371" s="18" t="s">
        <v>75</v>
      </c>
      <c r="T371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71" s="19" t="s">
        <v>76</v>
      </c>
      <c r="V371" s="20" t="s">
        <v>7</v>
      </c>
      <c r="W371" s="20"/>
      <c r="X371" s="18"/>
      <c r="Y371" s="18">
        <f>IF(DataTable[[#This Row],[explanation1]]="BL",1,IF(DataTable[[#This Row],[explanation2]]="BL",1,IF(DataTable[[#This Row],[explanation1]]="BR",1,IF(DataTable[[#This Row],[explanation2]]="BR",1,0))))</f>
        <v>0</v>
      </c>
      <c r="Z371" s="18">
        <f>IF(DataTable[[#This Row],[explanation1]]="BL",1,IF(DataTable[[#This Row],[explanation2]]="BL",1,0))</f>
        <v>0</v>
      </c>
      <c r="AA371" s="18">
        <f>IF(DataTable[[#This Row],[explanation1]]="WJ",1,IF(DataTable[[#This Row],[explanation2]]="WJ",1,0))</f>
        <v>1</v>
      </c>
      <c r="AB371" s="18">
        <f>IF(DataTable[[#This Row],[explanation1]]="U",1,IF(DataTable[[#This Row],[explanation2]]="U",1,0))</f>
        <v>0</v>
      </c>
      <c r="AC371" s="18">
        <f>IF(DataTable[[#This Row],[explanation1]]="O",1,IF(DataTable[[#This Row],[explanation2]]="O",1,0))</f>
        <v>0</v>
      </c>
      <c r="AD371" s="18">
        <f>IF(DataTable[[#This Row],[explanation1]]="TP",1,IF(DataTable[[#This Row],[explanation2]]="TP",1,0))</f>
        <v>0</v>
      </c>
      <c r="AE371" s="18">
        <f>IF(DataTable[[#This Row],[explanation1]]="WP",1,IF(DataTable[[#This Row],[explanation2]]="WP",1,0))</f>
        <v>0</v>
      </c>
      <c r="AF371" s="18">
        <f>IF(DataTable[[#This Row],[explanation1]]="BR",1,IF(DataTable[[#This Row],[explanation2]]="BR",1,0))</f>
        <v>0</v>
      </c>
      <c r="AG371" s="18">
        <f>IF(DataTable[[#This Row],[explanation1]]="LS",1,IF(DataTable[[#This Row],[explanation2]]="LS",1,0))</f>
        <v>0</v>
      </c>
      <c r="AH371" s="45" t="s">
        <v>7</v>
      </c>
    </row>
    <row r="372" spans="1:34" x14ac:dyDescent="0.2">
      <c r="A372" s="22">
        <v>370</v>
      </c>
      <c r="B372" s="167" t="s">
        <v>44</v>
      </c>
      <c r="C372" s="167" t="s">
        <v>45</v>
      </c>
      <c r="D372" s="167">
        <v>50</v>
      </c>
      <c r="E372" s="23" t="s">
        <v>58</v>
      </c>
      <c r="F372" s="25">
        <v>21</v>
      </c>
      <c r="G372" s="23" t="s">
        <v>47</v>
      </c>
      <c r="H372" s="24" t="s">
        <v>48</v>
      </c>
      <c r="I372" s="25" t="str">
        <f t="shared" si="5"/>
        <v>R</v>
      </c>
      <c r="J372" s="167" t="s">
        <v>78</v>
      </c>
      <c r="K372" s="25" t="s">
        <v>49</v>
      </c>
      <c r="L372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372" s="24">
        <f>IF(DataTable[[#This Row],[3x head (H)/tail (T)?]]=DataTable[[#This Row],[then 4th: H/T/B/0]],1,0)</f>
        <v>0</v>
      </c>
      <c r="N372" s="24">
        <f>IF(DataTable[[#This Row],[then 4th: H/T/B/0]]="B",1,0)</f>
        <v>0</v>
      </c>
      <c r="O372" s="23" t="s">
        <v>436</v>
      </c>
      <c r="P372" s="167">
        <v>21</v>
      </c>
      <c r="Q372" s="168" t="s">
        <v>71</v>
      </c>
      <c r="R372" s="25" t="s">
        <v>58</v>
      </c>
      <c r="S372" s="27" t="s">
        <v>75</v>
      </c>
      <c r="T372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72" s="28" t="s">
        <v>76</v>
      </c>
      <c r="V372" s="29" t="s">
        <v>11</v>
      </c>
      <c r="W372" s="29" t="s">
        <v>6</v>
      </c>
      <c r="X372" s="27"/>
      <c r="Y372" s="27">
        <f>IF(DataTable[[#This Row],[explanation1]]="BL",1,IF(DataTable[[#This Row],[explanation2]]="BL",1,IF(DataTable[[#This Row],[explanation1]]="BR",1,IF(DataTable[[#This Row],[explanation2]]="BR",1,0))))</f>
        <v>1</v>
      </c>
      <c r="Z372" s="18">
        <f>IF(DataTable[[#This Row],[explanation1]]="BL",1,IF(DataTable[[#This Row],[explanation2]]="BL",1,0))</f>
        <v>1</v>
      </c>
      <c r="AA372" s="18">
        <f>IF(DataTable[[#This Row],[explanation1]]="WJ",1,IF(DataTable[[#This Row],[explanation2]]="WJ",1,0))</f>
        <v>0</v>
      </c>
      <c r="AB372" s="18">
        <f>IF(DataTable[[#This Row],[explanation1]]="U",1,IF(DataTable[[#This Row],[explanation2]]="U",1,0))</f>
        <v>0</v>
      </c>
      <c r="AC372" s="18">
        <f>IF(DataTable[[#This Row],[explanation1]]="O",1,IF(DataTable[[#This Row],[explanation2]]="O",1,0))</f>
        <v>0</v>
      </c>
      <c r="AD372" s="18">
        <f>IF(DataTable[[#This Row],[explanation1]]="TP",1,IF(DataTable[[#This Row],[explanation2]]="TP",1,0))</f>
        <v>0</v>
      </c>
      <c r="AE372" s="18">
        <f>IF(DataTable[[#This Row],[explanation1]]="WP",1,IF(DataTable[[#This Row],[explanation2]]="WP",1,0))</f>
        <v>1</v>
      </c>
      <c r="AF372" s="18">
        <f>IF(DataTable[[#This Row],[explanation1]]="BR",1,IF(DataTable[[#This Row],[explanation2]]="BR",1,0))</f>
        <v>0</v>
      </c>
      <c r="AG372" s="18">
        <f>IF(DataTable[[#This Row],[explanation1]]="LS",1,IF(DataTable[[#This Row],[explanation2]]="LS",1,0))</f>
        <v>0</v>
      </c>
      <c r="AH372" s="45" t="s">
        <v>412</v>
      </c>
    </row>
    <row r="373" spans="1:34" x14ac:dyDescent="0.2">
      <c r="A373" s="13">
        <v>371</v>
      </c>
      <c r="B373" s="167" t="s">
        <v>44</v>
      </c>
      <c r="C373" s="167" t="s">
        <v>45</v>
      </c>
      <c r="D373" s="167">
        <v>50</v>
      </c>
      <c r="E373" s="14" t="s">
        <v>46</v>
      </c>
      <c r="F373" s="16">
        <v>18</v>
      </c>
      <c r="G373" s="14" t="s">
        <v>47</v>
      </c>
      <c r="H373" s="15" t="s">
        <v>48</v>
      </c>
      <c r="I373" s="16" t="str">
        <f t="shared" si="5"/>
        <v>R</v>
      </c>
      <c r="J373" s="167" t="s">
        <v>49</v>
      </c>
      <c r="K373" s="16" t="s">
        <v>50</v>
      </c>
      <c r="L373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73" s="15">
        <f>IF(DataTable[[#This Row],[3x head (H)/tail (T)?]]=DataTable[[#This Row],[then 4th: H/T/B/0]],1,0)</f>
        <v>0</v>
      </c>
      <c r="N373" s="15">
        <f>IF(DataTable[[#This Row],[then 4th: H/T/B/0]]="B",1,0)</f>
        <v>1</v>
      </c>
      <c r="O373" s="14" t="s">
        <v>436</v>
      </c>
      <c r="P373" s="167">
        <v>21</v>
      </c>
      <c r="Q373" s="169" t="s">
        <v>71</v>
      </c>
      <c r="R373" s="16" t="s">
        <v>58</v>
      </c>
      <c r="S373" s="18" t="s">
        <v>75</v>
      </c>
      <c r="T373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73" s="19" t="s">
        <v>76</v>
      </c>
      <c r="V373" s="20" t="s">
        <v>7</v>
      </c>
      <c r="W373" s="20" t="s">
        <v>8</v>
      </c>
      <c r="X373" s="18"/>
      <c r="Y373" s="18">
        <f>IF(DataTable[[#This Row],[explanation1]]="BL",1,IF(DataTable[[#This Row],[explanation2]]="BL",1,IF(DataTable[[#This Row],[explanation1]]="BR",1,IF(DataTable[[#This Row],[explanation2]]="BR",1,0))))</f>
        <v>0</v>
      </c>
      <c r="Z373" s="18">
        <f>IF(DataTable[[#This Row],[explanation1]]="BL",1,IF(DataTable[[#This Row],[explanation2]]="BL",1,0))</f>
        <v>0</v>
      </c>
      <c r="AA373" s="18">
        <f>IF(DataTable[[#This Row],[explanation1]]="WJ",1,IF(DataTable[[#This Row],[explanation2]]="WJ",1,0))</f>
        <v>1</v>
      </c>
      <c r="AB373" s="18">
        <f>IF(DataTable[[#This Row],[explanation1]]="U",1,IF(DataTable[[#This Row],[explanation2]]="U",1,0))</f>
        <v>1</v>
      </c>
      <c r="AC373" s="18">
        <f>IF(DataTable[[#This Row],[explanation1]]="O",1,IF(DataTable[[#This Row],[explanation2]]="O",1,0))</f>
        <v>0</v>
      </c>
      <c r="AD373" s="18">
        <f>IF(DataTable[[#This Row],[explanation1]]="TP",1,IF(DataTable[[#This Row],[explanation2]]="TP",1,0))</f>
        <v>0</v>
      </c>
      <c r="AE373" s="18">
        <f>IF(DataTable[[#This Row],[explanation1]]="WP",1,IF(DataTable[[#This Row],[explanation2]]="WP",1,0))</f>
        <v>0</v>
      </c>
      <c r="AF373" s="18">
        <f>IF(DataTable[[#This Row],[explanation1]]="BR",1,IF(DataTable[[#This Row],[explanation2]]="BR",1,0))</f>
        <v>0</v>
      </c>
      <c r="AG373" s="18">
        <f>IF(DataTable[[#This Row],[explanation1]]="LS",1,IF(DataTable[[#This Row],[explanation2]]="LS",1,0))</f>
        <v>0</v>
      </c>
      <c r="AH373" s="45" t="s">
        <v>415</v>
      </c>
    </row>
    <row r="374" spans="1:34" x14ac:dyDescent="0.2">
      <c r="A374" s="22">
        <v>372</v>
      </c>
      <c r="B374" s="167" t="s">
        <v>44</v>
      </c>
      <c r="C374" s="167" t="s">
        <v>74</v>
      </c>
      <c r="D374" s="167">
        <v>50</v>
      </c>
      <c r="E374" s="23" t="s">
        <v>58</v>
      </c>
      <c r="F374" s="25">
        <v>32</v>
      </c>
      <c r="G374" s="23" t="s">
        <v>44</v>
      </c>
      <c r="H374" s="24" t="s">
        <v>48</v>
      </c>
      <c r="I374" s="25" t="str">
        <f t="shared" si="5"/>
        <v>L1</v>
      </c>
      <c r="J374" s="167" t="s">
        <v>78</v>
      </c>
      <c r="K374" s="25" t="s">
        <v>78</v>
      </c>
      <c r="L374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74" s="24">
        <f>IF(DataTable[[#This Row],[3x head (H)/tail (T)?]]=DataTable[[#This Row],[then 4th: H/T/B/0]],1,0)</f>
        <v>1</v>
      </c>
      <c r="N374" s="24">
        <f>IF(DataTable[[#This Row],[then 4th: H/T/B/0]]="B",1,0)</f>
        <v>0</v>
      </c>
      <c r="O374" s="23" t="s">
        <v>436</v>
      </c>
      <c r="P374" s="167">
        <v>21</v>
      </c>
      <c r="Q374" s="168" t="s">
        <v>71</v>
      </c>
      <c r="R374" s="25" t="s">
        <v>58</v>
      </c>
      <c r="S374" s="27" t="s">
        <v>61</v>
      </c>
      <c r="T374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4</v>
      </c>
      <c r="U374" s="28" t="s">
        <v>330</v>
      </c>
      <c r="V374" s="29" t="s">
        <v>9</v>
      </c>
      <c r="W374" s="29"/>
      <c r="X374" s="27"/>
      <c r="Y374" s="27">
        <f>IF(DataTable[[#This Row],[explanation1]]="BL",1,IF(DataTable[[#This Row],[explanation2]]="BL",1,IF(DataTable[[#This Row],[explanation1]]="BR",1,IF(DataTable[[#This Row],[explanation2]]="BR",1,0))))</f>
        <v>0</v>
      </c>
      <c r="Z374" s="18">
        <f>IF(DataTable[[#This Row],[explanation1]]="BL",1,IF(DataTable[[#This Row],[explanation2]]="BL",1,0))</f>
        <v>0</v>
      </c>
      <c r="AA374" s="18">
        <f>IF(DataTable[[#This Row],[explanation1]]="WJ",1,IF(DataTable[[#This Row],[explanation2]]="WJ",1,0))</f>
        <v>0</v>
      </c>
      <c r="AB374" s="18">
        <f>IF(DataTable[[#This Row],[explanation1]]="U",1,IF(DataTable[[#This Row],[explanation2]]="U",1,0))</f>
        <v>0</v>
      </c>
      <c r="AC374" s="18">
        <f>IF(DataTable[[#This Row],[explanation1]]="O",1,IF(DataTable[[#This Row],[explanation2]]="O",1,0))</f>
        <v>1</v>
      </c>
      <c r="AD374" s="18">
        <f>IF(DataTable[[#This Row],[explanation1]]="TP",1,IF(DataTable[[#This Row],[explanation2]]="TP",1,0))</f>
        <v>0</v>
      </c>
      <c r="AE374" s="18">
        <f>IF(DataTable[[#This Row],[explanation1]]="WP",1,IF(DataTable[[#This Row],[explanation2]]="WP",1,0))</f>
        <v>0</v>
      </c>
      <c r="AF374" s="18">
        <f>IF(DataTable[[#This Row],[explanation1]]="BR",1,IF(DataTable[[#This Row],[explanation2]]="BR",1,0))</f>
        <v>0</v>
      </c>
      <c r="AG374" s="18">
        <f>IF(DataTable[[#This Row],[explanation1]]="LS",1,IF(DataTable[[#This Row],[explanation2]]="LS",1,0))</f>
        <v>0</v>
      </c>
      <c r="AH374" s="45" t="s">
        <v>9</v>
      </c>
    </row>
    <row r="375" spans="1:34" x14ac:dyDescent="0.2">
      <c r="A375" s="13">
        <v>373</v>
      </c>
      <c r="B375" s="167" t="s">
        <v>44</v>
      </c>
      <c r="C375" s="167" t="s">
        <v>74</v>
      </c>
      <c r="D375" s="167">
        <v>50</v>
      </c>
      <c r="E375" s="14" t="s">
        <v>46</v>
      </c>
      <c r="F375" s="16">
        <v>26</v>
      </c>
      <c r="G375" s="14" t="s">
        <v>47</v>
      </c>
      <c r="H375" s="15" t="s">
        <v>48</v>
      </c>
      <c r="I375" s="16" t="str">
        <f t="shared" si="5"/>
        <v>R</v>
      </c>
      <c r="J375" s="167" t="s">
        <v>49</v>
      </c>
      <c r="K375" s="16" t="s">
        <v>50</v>
      </c>
      <c r="L375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75" s="15">
        <f>IF(DataTable[[#This Row],[3x head (H)/tail (T)?]]=DataTable[[#This Row],[then 4th: H/T/B/0]],1,0)</f>
        <v>0</v>
      </c>
      <c r="N375" s="15">
        <f>IF(DataTable[[#This Row],[then 4th: H/T/B/0]]="B",1,0)</f>
        <v>1</v>
      </c>
      <c r="O375" s="14" t="s">
        <v>436</v>
      </c>
      <c r="P375" s="167">
        <v>21</v>
      </c>
      <c r="Q375" s="169" t="s">
        <v>71</v>
      </c>
      <c r="R375" s="16" t="s">
        <v>58</v>
      </c>
      <c r="S375" s="18" t="s">
        <v>75</v>
      </c>
      <c r="T375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75" s="19" t="s">
        <v>76</v>
      </c>
      <c r="V375" s="20" t="s">
        <v>13</v>
      </c>
      <c r="W375" s="20"/>
      <c r="X375" s="18"/>
      <c r="Y375" s="18">
        <f>IF(DataTable[[#This Row],[explanation1]]="BL",1,IF(DataTable[[#This Row],[explanation2]]="BL",1,IF(DataTable[[#This Row],[explanation1]]="BR",1,IF(DataTable[[#This Row],[explanation2]]="BR",1,0))))</f>
        <v>0</v>
      </c>
      <c r="Z375" s="18">
        <f>IF(DataTable[[#This Row],[explanation1]]="BL",1,IF(DataTable[[#This Row],[explanation2]]="BL",1,0))</f>
        <v>0</v>
      </c>
      <c r="AA375" s="18">
        <f>IF(DataTable[[#This Row],[explanation1]]="WJ",1,IF(DataTable[[#This Row],[explanation2]]="WJ",1,0))</f>
        <v>0</v>
      </c>
      <c r="AB375" s="18">
        <f>IF(DataTable[[#This Row],[explanation1]]="U",1,IF(DataTable[[#This Row],[explanation2]]="U",1,0))</f>
        <v>0</v>
      </c>
      <c r="AC375" s="18">
        <f>IF(DataTable[[#This Row],[explanation1]]="O",1,IF(DataTable[[#This Row],[explanation2]]="O",1,0))</f>
        <v>0</v>
      </c>
      <c r="AD375" s="18">
        <f>IF(DataTable[[#This Row],[explanation1]]="TP",1,IF(DataTable[[#This Row],[explanation2]]="TP",1,0))</f>
        <v>0</v>
      </c>
      <c r="AE375" s="18">
        <f>IF(DataTable[[#This Row],[explanation1]]="WP",1,IF(DataTable[[#This Row],[explanation2]]="WP",1,0))</f>
        <v>0</v>
      </c>
      <c r="AF375" s="18">
        <f>IF(DataTable[[#This Row],[explanation1]]="BR",1,IF(DataTable[[#This Row],[explanation2]]="BR",1,0))</f>
        <v>0</v>
      </c>
      <c r="AG375" s="18">
        <f>IF(DataTable[[#This Row],[explanation1]]="LS",1,IF(DataTable[[#This Row],[explanation2]]="LS",1,0))</f>
        <v>1</v>
      </c>
      <c r="AH375" s="45" t="s">
        <v>416</v>
      </c>
    </row>
    <row r="376" spans="1:34" x14ac:dyDescent="0.2">
      <c r="A376" s="22">
        <v>374</v>
      </c>
      <c r="B376" s="167" t="s">
        <v>60</v>
      </c>
      <c r="C376" s="167" t="s">
        <v>45</v>
      </c>
      <c r="D376" s="167">
        <v>1</v>
      </c>
      <c r="E376" s="23" t="s">
        <v>58</v>
      </c>
      <c r="F376" s="25">
        <v>62</v>
      </c>
      <c r="G376" s="23" t="s">
        <v>60</v>
      </c>
      <c r="H376" s="24" t="s">
        <v>48</v>
      </c>
      <c r="I376" s="25" t="str">
        <f t="shared" si="5"/>
        <v>L5</v>
      </c>
      <c r="J376" s="167" t="s">
        <v>78</v>
      </c>
      <c r="K376" s="25" t="s">
        <v>78</v>
      </c>
      <c r="L376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76" s="24">
        <f>IF(DataTable[[#This Row],[3x head (H)/tail (T)?]]=DataTable[[#This Row],[then 4th: H/T/B/0]],1,0)</f>
        <v>1</v>
      </c>
      <c r="N376" s="24">
        <f>IF(DataTable[[#This Row],[then 4th: H/T/B/0]]="B",1,0)</f>
        <v>0</v>
      </c>
      <c r="O376" s="23" t="s">
        <v>436</v>
      </c>
      <c r="P376" s="167">
        <v>21</v>
      </c>
      <c r="Q376" s="168" t="s">
        <v>71</v>
      </c>
      <c r="R376" s="25" t="s">
        <v>58</v>
      </c>
      <c r="S376" s="27" t="s">
        <v>65</v>
      </c>
      <c r="T376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376" s="28" t="s">
        <v>86</v>
      </c>
      <c r="V376" s="29" t="s">
        <v>9</v>
      </c>
      <c r="W376" s="29"/>
      <c r="X376" s="27"/>
      <c r="Y376" s="27">
        <f>IF(DataTable[[#This Row],[explanation1]]="BL",1,IF(DataTable[[#This Row],[explanation2]]="BL",1,IF(DataTable[[#This Row],[explanation1]]="BR",1,IF(DataTable[[#This Row],[explanation2]]="BR",1,0))))</f>
        <v>0</v>
      </c>
      <c r="Z376" s="18">
        <f>IF(DataTable[[#This Row],[explanation1]]="BL",1,IF(DataTable[[#This Row],[explanation2]]="BL",1,0))</f>
        <v>0</v>
      </c>
      <c r="AA376" s="18">
        <f>IF(DataTable[[#This Row],[explanation1]]="WJ",1,IF(DataTable[[#This Row],[explanation2]]="WJ",1,0))</f>
        <v>0</v>
      </c>
      <c r="AB376" s="18">
        <f>IF(DataTable[[#This Row],[explanation1]]="U",1,IF(DataTable[[#This Row],[explanation2]]="U",1,0))</f>
        <v>0</v>
      </c>
      <c r="AC376" s="18">
        <f>IF(DataTable[[#This Row],[explanation1]]="O",1,IF(DataTable[[#This Row],[explanation2]]="O",1,0))</f>
        <v>1</v>
      </c>
      <c r="AD376" s="18">
        <f>IF(DataTable[[#This Row],[explanation1]]="TP",1,IF(DataTable[[#This Row],[explanation2]]="TP",1,0))</f>
        <v>0</v>
      </c>
      <c r="AE376" s="18">
        <f>IF(DataTable[[#This Row],[explanation1]]="WP",1,IF(DataTable[[#This Row],[explanation2]]="WP",1,0))</f>
        <v>0</v>
      </c>
      <c r="AF376" s="18">
        <f>IF(DataTable[[#This Row],[explanation1]]="BR",1,IF(DataTable[[#This Row],[explanation2]]="BR",1,0))</f>
        <v>0</v>
      </c>
      <c r="AG376" s="18">
        <f>IF(DataTable[[#This Row],[explanation1]]="LS",1,IF(DataTable[[#This Row],[explanation2]]="LS",1,0))</f>
        <v>0</v>
      </c>
      <c r="AH376" s="45" t="s">
        <v>9</v>
      </c>
    </row>
    <row r="377" spans="1:34" x14ac:dyDescent="0.2">
      <c r="A377" s="13">
        <v>375</v>
      </c>
      <c r="B377" s="167" t="s">
        <v>64</v>
      </c>
      <c r="C377" s="167" t="s">
        <v>74</v>
      </c>
      <c r="D377" s="167">
        <v>1</v>
      </c>
      <c r="E377" s="14" t="s">
        <v>58</v>
      </c>
      <c r="F377" s="16">
        <v>22</v>
      </c>
      <c r="G377" s="14" t="s">
        <v>64</v>
      </c>
      <c r="H377" s="15" t="s">
        <v>48</v>
      </c>
      <c r="I377" s="16" t="str">
        <f t="shared" si="5"/>
        <v>M1</v>
      </c>
      <c r="J377" s="167" t="s">
        <v>49</v>
      </c>
      <c r="K377" s="16" t="s">
        <v>78</v>
      </c>
      <c r="L377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377" s="15">
        <f>IF(DataTable[[#This Row],[3x head (H)/tail (T)?]]=DataTable[[#This Row],[then 4th: H/T/B/0]],1,0)</f>
        <v>0</v>
      </c>
      <c r="N377" s="15">
        <f>IF(DataTable[[#This Row],[then 4th: H/T/B/0]]="B",1,0)</f>
        <v>0</v>
      </c>
      <c r="O377" s="14" t="s">
        <v>436</v>
      </c>
      <c r="P377" s="167">
        <v>21</v>
      </c>
      <c r="Q377" s="169" t="s">
        <v>71</v>
      </c>
      <c r="R377" s="16" t="s">
        <v>58</v>
      </c>
      <c r="S377" s="18" t="s">
        <v>75</v>
      </c>
      <c r="T377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77" s="19" t="s">
        <v>76</v>
      </c>
      <c r="V377" s="20" t="s">
        <v>7</v>
      </c>
      <c r="W377" s="20"/>
      <c r="X377" s="18"/>
      <c r="Y377" s="18">
        <f>IF(DataTable[[#This Row],[explanation1]]="BL",1,IF(DataTable[[#This Row],[explanation2]]="BL",1,IF(DataTable[[#This Row],[explanation1]]="BR",1,IF(DataTable[[#This Row],[explanation2]]="BR",1,0))))</f>
        <v>0</v>
      </c>
      <c r="Z377" s="18">
        <f>IF(DataTable[[#This Row],[explanation1]]="BL",1,IF(DataTable[[#This Row],[explanation2]]="BL",1,0))</f>
        <v>0</v>
      </c>
      <c r="AA377" s="18">
        <f>IF(DataTable[[#This Row],[explanation1]]="WJ",1,IF(DataTable[[#This Row],[explanation2]]="WJ",1,0))</f>
        <v>1</v>
      </c>
      <c r="AB377" s="18">
        <f>IF(DataTable[[#This Row],[explanation1]]="U",1,IF(DataTable[[#This Row],[explanation2]]="U",1,0))</f>
        <v>0</v>
      </c>
      <c r="AC377" s="18">
        <f>IF(DataTable[[#This Row],[explanation1]]="O",1,IF(DataTable[[#This Row],[explanation2]]="O",1,0))</f>
        <v>0</v>
      </c>
      <c r="AD377" s="18">
        <f>IF(DataTable[[#This Row],[explanation1]]="TP",1,IF(DataTable[[#This Row],[explanation2]]="TP",1,0))</f>
        <v>0</v>
      </c>
      <c r="AE377" s="18">
        <f>IF(DataTable[[#This Row],[explanation1]]="WP",1,IF(DataTable[[#This Row],[explanation2]]="WP",1,0))</f>
        <v>0</v>
      </c>
      <c r="AF377" s="18">
        <f>IF(DataTable[[#This Row],[explanation1]]="BR",1,IF(DataTable[[#This Row],[explanation2]]="BR",1,0))</f>
        <v>0</v>
      </c>
      <c r="AG377" s="18">
        <f>IF(DataTable[[#This Row],[explanation1]]="LS",1,IF(DataTable[[#This Row],[explanation2]]="LS",1,0))</f>
        <v>0</v>
      </c>
      <c r="AH377" s="45" t="s">
        <v>7</v>
      </c>
    </row>
    <row r="378" spans="1:34" x14ac:dyDescent="0.2">
      <c r="A378" s="22">
        <v>376</v>
      </c>
      <c r="B378" s="167" t="s">
        <v>64</v>
      </c>
      <c r="C378" s="167" t="s">
        <v>45</v>
      </c>
      <c r="D378" s="167">
        <v>50</v>
      </c>
      <c r="E378" s="23" t="s">
        <v>46</v>
      </c>
      <c r="F378" s="25">
        <v>26</v>
      </c>
      <c r="G378" s="23" t="s">
        <v>64</v>
      </c>
      <c r="H378" s="24" t="s">
        <v>48</v>
      </c>
      <c r="I378" s="25" t="str">
        <f t="shared" si="5"/>
        <v>M1</v>
      </c>
      <c r="J378" s="167" t="s">
        <v>78</v>
      </c>
      <c r="K378" s="25" t="s">
        <v>78</v>
      </c>
      <c r="L378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78" s="24">
        <f>IF(DataTable[[#This Row],[3x head (H)/tail (T)?]]=DataTable[[#This Row],[then 4th: H/T/B/0]],1,0)</f>
        <v>1</v>
      </c>
      <c r="N378" s="24">
        <f>IF(DataTable[[#This Row],[then 4th: H/T/B/0]]="B",1,0)</f>
        <v>0</v>
      </c>
      <c r="O378" s="23" t="s">
        <v>436</v>
      </c>
      <c r="P378" s="167">
        <v>21</v>
      </c>
      <c r="Q378" s="168" t="s">
        <v>71</v>
      </c>
      <c r="R378" s="25" t="s">
        <v>58</v>
      </c>
      <c r="S378" s="27" t="s">
        <v>54</v>
      </c>
      <c r="T378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378" s="28" t="s">
        <v>88</v>
      </c>
      <c r="V378" s="29" t="s">
        <v>11</v>
      </c>
      <c r="W378" s="29"/>
      <c r="X378" s="27"/>
      <c r="Y378" s="27">
        <f>IF(DataTable[[#This Row],[explanation1]]="BL",1,IF(DataTable[[#This Row],[explanation2]]="BL",1,IF(DataTable[[#This Row],[explanation1]]="BR",1,IF(DataTable[[#This Row],[explanation2]]="BR",1,0))))</f>
        <v>0</v>
      </c>
      <c r="Z378" s="18">
        <f>IF(DataTable[[#This Row],[explanation1]]="BL",1,IF(DataTable[[#This Row],[explanation2]]="BL",1,0))</f>
        <v>0</v>
      </c>
      <c r="AA378" s="18">
        <f>IF(DataTable[[#This Row],[explanation1]]="WJ",1,IF(DataTable[[#This Row],[explanation2]]="WJ",1,0))</f>
        <v>0</v>
      </c>
      <c r="AB378" s="18">
        <f>IF(DataTable[[#This Row],[explanation1]]="U",1,IF(DataTable[[#This Row],[explanation2]]="U",1,0))</f>
        <v>0</v>
      </c>
      <c r="AC378" s="18">
        <f>IF(DataTable[[#This Row],[explanation1]]="O",1,IF(DataTable[[#This Row],[explanation2]]="O",1,0))</f>
        <v>0</v>
      </c>
      <c r="AD378" s="18">
        <f>IF(DataTable[[#This Row],[explanation1]]="TP",1,IF(DataTable[[#This Row],[explanation2]]="TP",1,0))</f>
        <v>0</v>
      </c>
      <c r="AE378" s="18">
        <f>IF(DataTable[[#This Row],[explanation1]]="WP",1,IF(DataTable[[#This Row],[explanation2]]="WP",1,0))</f>
        <v>1</v>
      </c>
      <c r="AF378" s="18">
        <f>IF(DataTable[[#This Row],[explanation1]]="BR",1,IF(DataTable[[#This Row],[explanation2]]="BR",1,0))</f>
        <v>0</v>
      </c>
      <c r="AG378" s="18">
        <f>IF(DataTable[[#This Row],[explanation1]]="LS",1,IF(DataTable[[#This Row],[explanation2]]="LS",1,0))</f>
        <v>0</v>
      </c>
      <c r="AH378" s="45" t="s">
        <v>11</v>
      </c>
    </row>
    <row r="379" spans="1:34" x14ac:dyDescent="0.2">
      <c r="A379" s="13">
        <v>377</v>
      </c>
      <c r="B379" s="167" t="s">
        <v>70</v>
      </c>
      <c r="C379" s="167" t="s">
        <v>45</v>
      </c>
      <c r="D379" s="167">
        <v>1</v>
      </c>
      <c r="E379" s="14" t="s">
        <v>58</v>
      </c>
      <c r="F379" s="16">
        <v>37</v>
      </c>
      <c r="G379" s="14" t="s">
        <v>70</v>
      </c>
      <c r="H379" s="15" t="s">
        <v>48</v>
      </c>
      <c r="I379" s="16" t="str">
        <f t="shared" si="5"/>
        <v>M5</v>
      </c>
      <c r="J379" s="167" t="s">
        <v>78</v>
      </c>
      <c r="K379" s="16" t="s">
        <v>49</v>
      </c>
      <c r="L379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379" s="15">
        <f>IF(DataTable[[#This Row],[3x head (H)/tail (T)?]]=DataTable[[#This Row],[then 4th: H/T/B/0]],1,0)</f>
        <v>0</v>
      </c>
      <c r="N379" s="15">
        <f>IF(DataTable[[#This Row],[then 4th: H/T/B/0]]="B",1,0)</f>
        <v>0</v>
      </c>
      <c r="O379" s="14" t="s">
        <v>436</v>
      </c>
      <c r="P379" s="167">
        <v>21</v>
      </c>
      <c r="Q379" s="169" t="s">
        <v>71</v>
      </c>
      <c r="R379" s="16" t="s">
        <v>58</v>
      </c>
      <c r="S379" s="18" t="s">
        <v>75</v>
      </c>
      <c r="T379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79" s="19" t="s">
        <v>76</v>
      </c>
      <c r="V379" s="20" t="s">
        <v>9</v>
      </c>
      <c r="W379" s="20"/>
      <c r="X379" s="18"/>
      <c r="Y379" s="18">
        <f>IF(DataTable[[#This Row],[explanation1]]="BL",1,IF(DataTable[[#This Row],[explanation2]]="BL",1,IF(DataTable[[#This Row],[explanation1]]="BR",1,IF(DataTable[[#This Row],[explanation2]]="BR",1,0))))</f>
        <v>0</v>
      </c>
      <c r="Z379" s="18">
        <f>IF(DataTable[[#This Row],[explanation1]]="BL",1,IF(DataTable[[#This Row],[explanation2]]="BL",1,0))</f>
        <v>0</v>
      </c>
      <c r="AA379" s="18">
        <f>IF(DataTable[[#This Row],[explanation1]]="WJ",1,IF(DataTable[[#This Row],[explanation2]]="WJ",1,0))</f>
        <v>0</v>
      </c>
      <c r="AB379" s="18">
        <f>IF(DataTable[[#This Row],[explanation1]]="U",1,IF(DataTable[[#This Row],[explanation2]]="U",1,0))</f>
        <v>0</v>
      </c>
      <c r="AC379" s="18">
        <f>IF(DataTable[[#This Row],[explanation1]]="O",1,IF(DataTable[[#This Row],[explanation2]]="O",1,0))</f>
        <v>1</v>
      </c>
      <c r="AD379" s="18">
        <f>IF(DataTable[[#This Row],[explanation1]]="TP",1,IF(DataTable[[#This Row],[explanation2]]="TP",1,0))</f>
        <v>0</v>
      </c>
      <c r="AE379" s="18">
        <f>IF(DataTable[[#This Row],[explanation1]]="WP",1,IF(DataTable[[#This Row],[explanation2]]="WP",1,0))</f>
        <v>0</v>
      </c>
      <c r="AF379" s="18">
        <f>IF(DataTable[[#This Row],[explanation1]]="BR",1,IF(DataTable[[#This Row],[explanation2]]="BR",1,0))</f>
        <v>0</v>
      </c>
      <c r="AG379" s="18">
        <f>IF(DataTable[[#This Row],[explanation1]]="LS",1,IF(DataTable[[#This Row],[explanation2]]="LS",1,0))</f>
        <v>0</v>
      </c>
      <c r="AH379" s="45" t="s">
        <v>9</v>
      </c>
    </row>
    <row r="380" spans="1:34" x14ac:dyDescent="0.2">
      <c r="A380" s="22">
        <v>378</v>
      </c>
      <c r="B380" s="167" t="s">
        <v>57</v>
      </c>
      <c r="C380" s="167" t="s">
        <v>74</v>
      </c>
      <c r="D380" s="167">
        <v>1</v>
      </c>
      <c r="E380" s="23" t="s">
        <v>46</v>
      </c>
      <c r="F380" s="25">
        <v>37</v>
      </c>
      <c r="G380" s="23" t="s">
        <v>47</v>
      </c>
      <c r="H380" s="24" t="s">
        <v>48</v>
      </c>
      <c r="I380" s="25" t="str">
        <f t="shared" si="5"/>
        <v>R</v>
      </c>
      <c r="J380" s="167" t="s">
        <v>49</v>
      </c>
      <c r="K380" s="25" t="s">
        <v>78</v>
      </c>
      <c r="L380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380" s="24">
        <f>IF(DataTable[[#This Row],[3x head (H)/tail (T)?]]=DataTable[[#This Row],[then 4th: H/T/B/0]],1,0)</f>
        <v>0</v>
      </c>
      <c r="N380" s="24">
        <f>IF(DataTable[[#This Row],[then 4th: H/T/B/0]]="B",1,0)</f>
        <v>0</v>
      </c>
      <c r="O380" s="23" t="s">
        <v>436</v>
      </c>
      <c r="P380" s="167">
        <v>21</v>
      </c>
      <c r="Q380" s="168" t="s">
        <v>71</v>
      </c>
      <c r="R380" s="25" t="s">
        <v>58</v>
      </c>
      <c r="S380" s="27" t="s">
        <v>75</v>
      </c>
      <c r="T380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80" s="28" t="s">
        <v>76</v>
      </c>
      <c r="V380" s="29" t="s">
        <v>9</v>
      </c>
      <c r="W380" s="29"/>
      <c r="X380" s="27"/>
      <c r="Y380" s="27">
        <f>IF(DataTable[[#This Row],[explanation1]]="BL",1,IF(DataTable[[#This Row],[explanation2]]="BL",1,IF(DataTable[[#This Row],[explanation1]]="BR",1,IF(DataTable[[#This Row],[explanation2]]="BR",1,0))))</f>
        <v>0</v>
      </c>
      <c r="Z380" s="18">
        <f>IF(DataTable[[#This Row],[explanation1]]="BL",1,IF(DataTable[[#This Row],[explanation2]]="BL",1,0))</f>
        <v>0</v>
      </c>
      <c r="AA380" s="18">
        <f>IF(DataTable[[#This Row],[explanation1]]="WJ",1,IF(DataTable[[#This Row],[explanation2]]="WJ",1,0))</f>
        <v>0</v>
      </c>
      <c r="AB380" s="18">
        <f>IF(DataTable[[#This Row],[explanation1]]="U",1,IF(DataTable[[#This Row],[explanation2]]="U",1,0))</f>
        <v>0</v>
      </c>
      <c r="AC380" s="18">
        <f>IF(DataTable[[#This Row],[explanation1]]="O",1,IF(DataTable[[#This Row],[explanation2]]="O",1,0))</f>
        <v>1</v>
      </c>
      <c r="AD380" s="18">
        <f>IF(DataTable[[#This Row],[explanation1]]="TP",1,IF(DataTable[[#This Row],[explanation2]]="TP",1,0))</f>
        <v>0</v>
      </c>
      <c r="AE380" s="18">
        <f>IF(DataTable[[#This Row],[explanation1]]="WP",1,IF(DataTable[[#This Row],[explanation2]]="WP",1,0))</f>
        <v>0</v>
      </c>
      <c r="AF380" s="18">
        <f>IF(DataTable[[#This Row],[explanation1]]="BR",1,IF(DataTable[[#This Row],[explanation2]]="BR",1,0))</f>
        <v>0</v>
      </c>
      <c r="AG380" s="18">
        <f>IF(DataTable[[#This Row],[explanation1]]="LS",1,IF(DataTable[[#This Row],[explanation2]]="LS",1,0))</f>
        <v>0</v>
      </c>
      <c r="AH380" s="45" t="s">
        <v>9</v>
      </c>
    </row>
    <row r="381" spans="1:34" x14ac:dyDescent="0.2">
      <c r="A381" s="13">
        <v>379</v>
      </c>
      <c r="B381" s="167" t="s">
        <v>44</v>
      </c>
      <c r="C381" s="167" t="s">
        <v>45</v>
      </c>
      <c r="D381" s="167">
        <v>1</v>
      </c>
      <c r="E381" s="14" t="s">
        <v>46</v>
      </c>
      <c r="F381" s="16">
        <v>23</v>
      </c>
      <c r="G381" s="14" t="s">
        <v>47</v>
      </c>
      <c r="H381" s="15" t="s">
        <v>81</v>
      </c>
      <c r="I381" s="16" t="str">
        <f t="shared" si="5"/>
        <v>L1</v>
      </c>
      <c r="J381" s="167" t="s">
        <v>78</v>
      </c>
      <c r="K381" s="16" t="s">
        <v>50</v>
      </c>
      <c r="L381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81" s="15">
        <f>IF(DataTable[[#This Row],[3x head (H)/tail (T)?]]=DataTable[[#This Row],[then 4th: H/T/B/0]],1,0)</f>
        <v>0</v>
      </c>
      <c r="N381" s="15">
        <f>IF(DataTable[[#This Row],[then 4th: H/T/B/0]]="B",1,0)</f>
        <v>1</v>
      </c>
      <c r="O381" s="14" t="s">
        <v>436</v>
      </c>
      <c r="P381" s="167">
        <v>14</v>
      </c>
      <c r="Q381" s="169" t="s">
        <v>411</v>
      </c>
      <c r="R381" s="16" t="s">
        <v>58</v>
      </c>
      <c r="S381" s="18" t="s">
        <v>65</v>
      </c>
      <c r="T381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381" s="19" t="s">
        <v>86</v>
      </c>
      <c r="V381" s="20" t="s">
        <v>7</v>
      </c>
      <c r="W381" s="20"/>
      <c r="X381" s="18"/>
      <c r="Y381" s="18">
        <f>IF(DataTable[[#This Row],[explanation1]]="BL",1,IF(DataTable[[#This Row],[explanation2]]="BL",1,IF(DataTable[[#This Row],[explanation1]]="BR",1,IF(DataTable[[#This Row],[explanation2]]="BR",1,0))))</f>
        <v>0</v>
      </c>
      <c r="Z381" s="18">
        <f>IF(DataTable[[#This Row],[explanation1]]="BL",1,IF(DataTable[[#This Row],[explanation2]]="BL",1,0))</f>
        <v>0</v>
      </c>
      <c r="AA381" s="18">
        <f>IF(DataTable[[#This Row],[explanation1]]="WJ",1,IF(DataTable[[#This Row],[explanation2]]="WJ",1,0))</f>
        <v>1</v>
      </c>
      <c r="AB381" s="18">
        <f>IF(DataTable[[#This Row],[explanation1]]="U",1,IF(DataTable[[#This Row],[explanation2]]="U",1,0))</f>
        <v>0</v>
      </c>
      <c r="AC381" s="18">
        <f>IF(DataTable[[#This Row],[explanation1]]="O",1,IF(DataTable[[#This Row],[explanation2]]="O",1,0))</f>
        <v>0</v>
      </c>
      <c r="AD381" s="18">
        <f>IF(DataTable[[#This Row],[explanation1]]="TP",1,IF(DataTable[[#This Row],[explanation2]]="TP",1,0))</f>
        <v>0</v>
      </c>
      <c r="AE381" s="18">
        <f>IF(DataTable[[#This Row],[explanation1]]="WP",1,IF(DataTable[[#This Row],[explanation2]]="WP",1,0))</f>
        <v>0</v>
      </c>
      <c r="AF381" s="18">
        <f>IF(DataTable[[#This Row],[explanation1]]="BR",1,IF(DataTable[[#This Row],[explanation2]]="BR",1,0))</f>
        <v>0</v>
      </c>
      <c r="AG381" s="18">
        <f>IF(DataTable[[#This Row],[explanation1]]="LS",1,IF(DataTable[[#This Row],[explanation2]]="LS",1,0))</f>
        <v>0</v>
      </c>
      <c r="AH381" s="45" t="s">
        <v>7</v>
      </c>
    </row>
    <row r="382" spans="1:34" x14ac:dyDescent="0.2">
      <c r="A382" s="22">
        <v>380</v>
      </c>
      <c r="B382" s="167" t="s">
        <v>44</v>
      </c>
      <c r="C382" s="167" t="s">
        <v>45</v>
      </c>
      <c r="D382" s="167">
        <v>1</v>
      </c>
      <c r="E382" s="23" t="s">
        <v>46</v>
      </c>
      <c r="F382" s="25">
        <v>23</v>
      </c>
      <c r="G382" s="23" t="s">
        <v>47</v>
      </c>
      <c r="H382" s="24" t="s">
        <v>81</v>
      </c>
      <c r="I382" s="25" t="str">
        <f t="shared" si="5"/>
        <v>L1</v>
      </c>
      <c r="J382" s="167" t="s">
        <v>49</v>
      </c>
      <c r="K382" s="25" t="s">
        <v>50</v>
      </c>
      <c r="L382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82" s="24">
        <f>IF(DataTable[[#This Row],[3x head (H)/tail (T)?]]=DataTable[[#This Row],[then 4th: H/T/B/0]],1,0)</f>
        <v>0</v>
      </c>
      <c r="N382" s="24">
        <f>IF(DataTable[[#This Row],[then 4th: H/T/B/0]]="B",1,0)</f>
        <v>1</v>
      </c>
      <c r="O382" s="23" t="s">
        <v>436</v>
      </c>
      <c r="P382" s="167">
        <v>14</v>
      </c>
      <c r="Q382" s="168" t="s">
        <v>411</v>
      </c>
      <c r="R382" s="25" t="s">
        <v>58</v>
      </c>
      <c r="S382" s="27" t="s">
        <v>75</v>
      </c>
      <c r="T382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82" s="28" t="s">
        <v>76</v>
      </c>
      <c r="V382" s="29" t="s">
        <v>7</v>
      </c>
      <c r="W382" s="29"/>
      <c r="X382" s="27"/>
      <c r="Y382" s="27">
        <f>IF(DataTable[[#This Row],[explanation1]]="BL",1,IF(DataTable[[#This Row],[explanation2]]="BL",1,IF(DataTable[[#This Row],[explanation1]]="BR",1,IF(DataTable[[#This Row],[explanation2]]="BR",1,0))))</f>
        <v>0</v>
      </c>
      <c r="Z382" s="18">
        <f>IF(DataTable[[#This Row],[explanation1]]="BL",1,IF(DataTable[[#This Row],[explanation2]]="BL",1,0))</f>
        <v>0</v>
      </c>
      <c r="AA382" s="18">
        <f>IF(DataTable[[#This Row],[explanation1]]="WJ",1,IF(DataTable[[#This Row],[explanation2]]="WJ",1,0))</f>
        <v>1</v>
      </c>
      <c r="AB382" s="18">
        <f>IF(DataTable[[#This Row],[explanation1]]="U",1,IF(DataTable[[#This Row],[explanation2]]="U",1,0))</f>
        <v>0</v>
      </c>
      <c r="AC382" s="18">
        <f>IF(DataTable[[#This Row],[explanation1]]="O",1,IF(DataTable[[#This Row],[explanation2]]="O",1,0))</f>
        <v>0</v>
      </c>
      <c r="AD382" s="18">
        <f>IF(DataTable[[#This Row],[explanation1]]="TP",1,IF(DataTable[[#This Row],[explanation2]]="TP",1,0))</f>
        <v>0</v>
      </c>
      <c r="AE382" s="18">
        <f>IF(DataTable[[#This Row],[explanation1]]="WP",1,IF(DataTable[[#This Row],[explanation2]]="WP",1,0))</f>
        <v>0</v>
      </c>
      <c r="AF382" s="18">
        <f>IF(DataTable[[#This Row],[explanation1]]="BR",1,IF(DataTable[[#This Row],[explanation2]]="BR",1,0))</f>
        <v>0</v>
      </c>
      <c r="AG382" s="18">
        <f>IF(DataTable[[#This Row],[explanation1]]="LS",1,IF(DataTable[[#This Row],[explanation2]]="LS",1,0))</f>
        <v>0</v>
      </c>
      <c r="AH382" s="45" t="s">
        <v>7</v>
      </c>
    </row>
    <row r="383" spans="1:34" x14ac:dyDescent="0.2">
      <c r="A383" s="13">
        <v>381</v>
      </c>
      <c r="B383" s="167" t="s">
        <v>44</v>
      </c>
      <c r="C383" s="167" t="s">
        <v>45</v>
      </c>
      <c r="D383" s="167">
        <v>50</v>
      </c>
      <c r="E383" s="14" t="s">
        <v>58</v>
      </c>
      <c r="F383" s="16">
        <v>26</v>
      </c>
      <c r="G383" s="14" t="s">
        <v>47</v>
      </c>
      <c r="H383" s="15" t="s">
        <v>48</v>
      </c>
      <c r="I383" s="16" t="str">
        <f t="shared" si="5"/>
        <v>R</v>
      </c>
      <c r="J383" s="167" t="s">
        <v>49</v>
      </c>
      <c r="K383" s="16" t="s">
        <v>50</v>
      </c>
      <c r="L383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83" s="15">
        <f>IF(DataTable[[#This Row],[3x head (H)/tail (T)?]]=DataTable[[#This Row],[then 4th: H/T/B/0]],1,0)</f>
        <v>0</v>
      </c>
      <c r="N383" s="15">
        <f>IF(DataTable[[#This Row],[then 4th: H/T/B/0]]="B",1,0)</f>
        <v>1</v>
      </c>
      <c r="O383" s="14" t="s">
        <v>436</v>
      </c>
      <c r="P383" s="167">
        <v>14</v>
      </c>
      <c r="Q383" s="169" t="s">
        <v>411</v>
      </c>
      <c r="R383" s="16" t="s">
        <v>58</v>
      </c>
      <c r="S383" s="18" t="s">
        <v>75</v>
      </c>
      <c r="T383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83" s="19" t="s">
        <v>76</v>
      </c>
      <c r="V383" s="20" t="s">
        <v>6</v>
      </c>
      <c r="W383" s="20"/>
      <c r="X383" s="18"/>
      <c r="Y383" s="18">
        <f>IF(DataTable[[#This Row],[explanation1]]="BL",1,IF(DataTable[[#This Row],[explanation2]]="BL",1,IF(DataTable[[#This Row],[explanation1]]="BR",1,IF(DataTable[[#This Row],[explanation2]]="BR",1,0))))</f>
        <v>1</v>
      </c>
      <c r="Z383" s="18">
        <f>IF(DataTable[[#This Row],[explanation1]]="BL",1,IF(DataTable[[#This Row],[explanation2]]="BL",1,0))</f>
        <v>1</v>
      </c>
      <c r="AA383" s="18">
        <f>IF(DataTable[[#This Row],[explanation1]]="WJ",1,IF(DataTable[[#This Row],[explanation2]]="WJ",1,0))</f>
        <v>0</v>
      </c>
      <c r="AB383" s="18">
        <f>IF(DataTable[[#This Row],[explanation1]]="U",1,IF(DataTable[[#This Row],[explanation2]]="U",1,0))</f>
        <v>0</v>
      </c>
      <c r="AC383" s="18">
        <f>IF(DataTable[[#This Row],[explanation1]]="O",1,IF(DataTable[[#This Row],[explanation2]]="O",1,0))</f>
        <v>0</v>
      </c>
      <c r="AD383" s="18">
        <f>IF(DataTable[[#This Row],[explanation1]]="TP",1,IF(DataTable[[#This Row],[explanation2]]="TP",1,0))</f>
        <v>0</v>
      </c>
      <c r="AE383" s="18">
        <f>IF(DataTable[[#This Row],[explanation1]]="WP",1,IF(DataTable[[#This Row],[explanation2]]="WP",1,0))</f>
        <v>0</v>
      </c>
      <c r="AF383" s="18">
        <f>IF(DataTable[[#This Row],[explanation1]]="BR",1,IF(DataTable[[#This Row],[explanation2]]="BR",1,0))</f>
        <v>0</v>
      </c>
      <c r="AG383" s="18">
        <f>IF(DataTable[[#This Row],[explanation1]]="LS",1,IF(DataTable[[#This Row],[explanation2]]="LS",1,0))</f>
        <v>0</v>
      </c>
      <c r="AH383" s="45" t="s">
        <v>6</v>
      </c>
    </row>
    <row r="384" spans="1:34" x14ac:dyDescent="0.2">
      <c r="A384" s="22">
        <v>382</v>
      </c>
      <c r="B384" s="167" t="s">
        <v>60</v>
      </c>
      <c r="C384" s="167" t="s">
        <v>74</v>
      </c>
      <c r="D384" s="167">
        <v>1</v>
      </c>
      <c r="E384" s="23" t="s">
        <v>46</v>
      </c>
      <c r="F384" s="25">
        <v>44</v>
      </c>
      <c r="G384" s="23" t="s">
        <v>47</v>
      </c>
      <c r="H384" s="24" t="s">
        <v>48</v>
      </c>
      <c r="I384" s="25" t="str">
        <f t="shared" si="5"/>
        <v>R</v>
      </c>
      <c r="J384" s="167" t="s">
        <v>78</v>
      </c>
      <c r="K384" s="25" t="s">
        <v>50</v>
      </c>
      <c r="L384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84" s="24">
        <f>IF(DataTable[[#This Row],[3x head (H)/tail (T)?]]=DataTable[[#This Row],[then 4th: H/T/B/0]],1,0)</f>
        <v>0</v>
      </c>
      <c r="N384" s="24">
        <f>IF(DataTable[[#This Row],[then 4th: H/T/B/0]]="B",1,0)</f>
        <v>1</v>
      </c>
      <c r="O384" s="23" t="s">
        <v>436</v>
      </c>
      <c r="P384" s="167">
        <v>14</v>
      </c>
      <c r="Q384" s="168" t="s">
        <v>411</v>
      </c>
      <c r="R384" s="25" t="s">
        <v>58</v>
      </c>
      <c r="S384" s="27" t="s">
        <v>75</v>
      </c>
      <c r="T384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84" s="28" t="s">
        <v>76</v>
      </c>
      <c r="V384" s="29" t="s">
        <v>13</v>
      </c>
      <c r="W384" s="29"/>
      <c r="X384" s="27"/>
      <c r="Y384" s="27">
        <f>IF(DataTable[[#This Row],[explanation1]]="BL",1,IF(DataTable[[#This Row],[explanation2]]="BL",1,IF(DataTable[[#This Row],[explanation1]]="BR",1,IF(DataTable[[#This Row],[explanation2]]="BR",1,0))))</f>
        <v>0</v>
      </c>
      <c r="Z384" s="18">
        <f>IF(DataTable[[#This Row],[explanation1]]="BL",1,IF(DataTable[[#This Row],[explanation2]]="BL",1,0))</f>
        <v>0</v>
      </c>
      <c r="AA384" s="18">
        <f>IF(DataTable[[#This Row],[explanation1]]="WJ",1,IF(DataTable[[#This Row],[explanation2]]="WJ",1,0))</f>
        <v>0</v>
      </c>
      <c r="AB384" s="18">
        <f>IF(DataTable[[#This Row],[explanation1]]="U",1,IF(DataTable[[#This Row],[explanation2]]="U",1,0))</f>
        <v>0</v>
      </c>
      <c r="AC384" s="18">
        <f>IF(DataTable[[#This Row],[explanation1]]="O",1,IF(DataTable[[#This Row],[explanation2]]="O",1,0))</f>
        <v>0</v>
      </c>
      <c r="AD384" s="18">
        <f>IF(DataTable[[#This Row],[explanation1]]="TP",1,IF(DataTable[[#This Row],[explanation2]]="TP",1,0))</f>
        <v>0</v>
      </c>
      <c r="AE384" s="18">
        <f>IF(DataTable[[#This Row],[explanation1]]="WP",1,IF(DataTable[[#This Row],[explanation2]]="WP",1,0))</f>
        <v>0</v>
      </c>
      <c r="AF384" s="18">
        <f>IF(DataTable[[#This Row],[explanation1]]="BR",1,IF(DataTable[[#This Row],[explanation2]]="BR",1,0))</f>
        <v>0</v>
      </c>
      <c r="AG384" s="18">
        <f>IF(DataTable[[#This Row],[explanation1]]="LS",1,IF(DataTable[[#This Row],[explanation2]]="LS",1,0))</f>
        <v>1</v>
      </c>
      <c r="AH384" s="45" t="s">
        <v>13</v>
      </c>
    </row>
    <row r="385" spans="1:34" x14ac:dyDescent="0.2">
      <c r="A385" s="13">
        <v>383</v>
      </c>
      <c r="B385" s="167" t="s">
        <v>60</v>
      </c>
      <c r="C385" s="167" t="s">
        <v>74</v>
      </c>
      <c r="D385" s="167">
        <v>1</v>
      </c>
      <c r="E385" s="14" t="s">
        <v>46</v>
      </c>
      <c r="F385" s="16">
        <v>23</v>
      </c>
      <c r="G385" s="14" t="s">
        <v>47</v>
      </c>
      <c r="H385" s="15" t="s">
        <v>48</v>
      </c>
      <c r="I385" s="16" t="str">
        <f t="shared" si="5"/>
        <v>R</v>
      </c>
      <c r="J385" s="167" t="s">
        <v>49</v>
      </c>
      <c r="K385" s="16" t="s">
        <v>50</v>
      </c>
      <c r="L385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85" s="15">
        <f>IF(DataTable[[#This Row],[3x head (H)/tail (T)?]]=DataTable[[#This Row],[then 4th: H/T/B/0]],1,0)</f>
        <v>0</v>
      </c>
      <c r="N385" s="15">
        <f>IF(DataTable[[#This Row],[then 4th: H/T/B/0]]="B",1,0)</f>
        <v>1</v>
      </c>
      <c r="O385" s="14" t="s">
        <v>436</v>
      </c>
      <c r="P385" s="167">
        <v>14</v>
      </c>
      <c r="Q385" s="169" t="s">
        <v>411</v>
      </c>
      <c r="R385" s="16" t="s">
        <v>58</v>
      </c>
      <c r="S385" s="18" t="s">
        <v>75</v>
      </c>
      <c r="T385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85" s="19" t="s">
        <v>76</v>
      </c>
      <c r="V385" s="20" t="s">
        <v>11</v>
      </c>
      <c r="W385" s="20"/>
      <c r="X385" s="18"/>
      <c r="Y385" s="18">
        <f>IF(DataTable[[#This Row],[explanation1]]="BL",1,IF(DataTable[[#This Row],[explanation2]]="BL",1,IF(DataTable[[#This Row],[explanation1]]="BR",1,IF(DataTable[[#This Row],[explanation2]]="BR",1,0))))</f>
        <v>0</v>
      </c>
      <c r="Z385" s="18">
        <f>IF(DataTable[[#This Row],[explanation1]]="BL",1,IF(DataTable[[#This Row],[explanation2]]="BL",1,0))</f>
        <v>0</v>
      </c>
      <c r="AA385" s="18">
        <f>IF(DataTable[[#This Row],[explanation1]]="WJ",1,IF(DataTable[[#This Row],[explanation2]]="WJ",1,0))</f>
        <v>0</v>
      </c>
      <c r="AB385" s="18">
        <f>IF(DataTable[[#This Row],[explanation1]]="U",1,IF(DataTable[[#This Row],[explanation2]]="U",1,0))</f>
        <v>0</v>
      </c>
      <c r="AC385" s="18">
        <f>IF(DataTable[[#This Row],[explanation1]]="O",1,IF(DataTable[[#This Row],[explanation2]]="O",1,0))</f>
        <v>0</v>
      </c>
      <c r="AD385" s="18">
        <f>IF(DataTable[[#This Row],[explanation1]]="TP",1,IF(DataTable[[#This Row],[explanation2]]="TP",1,0))</f>
        <v>0</v>
      </c>
      <c r="AE385" s="18">
        <f>IF(DataTable[[#This Row],[explanation1]]="WP",1,IF(DataTable[[#This Row],[explanation2]]="WP",1,0))</f>
        <v>1</v>
      </c>
      <c r="AF385" s="18">
        <f>IF(DataTable[[#This Row],[explanation1]]="BR",1,IF(DataTable[[#This Row],[explanation2]]="BR",1,0))</f>
        <v>0</v>
      </c>
      <c r="AG385" s="18">
        <f>IF(DataTable[[#This Row],[explanation1]]="LS",1,IF(DataTable[[#This Row],[explanation2]]="LS",1,0))</f>
        <v>0</v>
      </c>
      <c r="AH385" s="45" t="s">
        <v>11</v>
      </c>
    </row>
    <row r="386" spans="1:34" x14ac:dyDescent="0.2">
      <c r="A386" s="22">
        <v>384</v>
      </c>
      <c r="B386" s="167" t="s">
        <v>60</v>
      </c>
      <c r="C386" s="167" t="s">
        <v>74</v>
      </c>
      <c r="D386" s="167">
        <v>50</v>
      </c>
      <c r="E386" s="23" t="s">
        <v>58</v>
      </c>
      <c r="F386" s="25">
        <v>62</v>
      </c>
      <c r="G386" s="23" t="s">
        <v>47</v>
      </c>
      <c r="H386" s="24" t="s">
        <v>48</v>
      </c>
      <c r="I386" s="25" t="str">
        <f t="shared" si="5"/>
        <v>R</v>
      </c>
      <c r="J386" s="167" t="s">
        <v>78</v>
      </c>
      <c r="K386" s="25" t="s">
        <v>49</v>
      </c>
      <c r="L386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386" s="24">
        <f>IF(DataTable[[#This Row],[3x head (H)/tail (T)?]]=DataTable[[#This Row],[then 4th: H/T/B/0]],1,0)</f>
        <v>0</v>
      </c>
      <c r="N386" s="24">
        <f>IF(DataTable[[#This Row],[then 4th: H/T/B/0]]="B",1,0)</f>
        <v>0</v>
      </c>
      <c r="O386" s="23" t="s">
        <v>436</v>
      </c>
      <c r="P386" s="167">
        <v>14</v>
      </c>
      <c r="Q386" s="168" t="s">
        <v>411</v>
      </c>
      <c r="R386" s="25" t="s">
        <v>58</v>
      </c>
      <c r="S386" s="27" t="s">
        <v>75</v>
      </c>
      <c r="T386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86" s="28" t="s">
        <v>76</v>
      </c>
      <c r="V386" s="29" t="s">
        <v>6</v>
      </c>
      <c r="W386" s="29"/>
      <c r="X386" s="27"/>
      <c r="Y386" s="27">
        <f>IF(DataTable[[#This Row],[explanation1]]="BL",1,IF(DataTable[[#This Row],[explanation2]]="BL",1,IF(DataTable[[#This Row],[explanation1]]="BR",1,IF(DataTable[[#This Row],[explanation2]]="BR",1,0))))</f>
        <v>1</v>
      </c>
      <c r="Z386" s="18">
        <f>IF(DataTable[[#This Row],[explanation1]]="BL",1,IF(DataTable[[#This Row],[explanation2]]="BL",1,0))</f>
        <v>1</v>
      </c>
      <c r="AA386" s="18">
        <f>IF(DataTable[[#This Row],[explanation1]]="WJ",1,IF(DataTable[[#This Row],[explanation2]]="WJ",1,0))</f>
        <v>0</v>
      </c>
      <c r="AB386" s="18">
        <f>IF(DataTable[[#This Row],[explanation1]]="U",1,IF(DataTable[[#This Row],[explanation2]]="U",1,0))</f>
        <v>0</v>
      </c>
      <c r="AC386" s="18">
        <f>IF(DataTable[[#This Row],[explanation1]]="O",1,IF(DataTable[[#This Row],[explanation2]]="O",1,0))</f>
        <v>0</v>
      </c>
      <c r="AD386" s="18">
        <f>IF(DataTable[[#This Row],[explanation1]]="TP",1,IF(DataTable[[#This Row],[explanation2]]="TP",1,0))</f>
        <v>0</v>
      </c>
      <c r="AE386" s="18">
        <f>IF(DataTable[[#This Row],[explanation1]]="WP",1,IF(DataTable[[#This Row],[explanation2]]="WP",1,0))</f>
        <v>0</v>
      </c>
      <c r="AF386" s="18">
        <f>IF(DataTable[[#This Row],[explanation1]]="BR",1,IF(DataTable[[#This Row],[explanation2]]="BR",1,0))</f>
        <v>0</v>
      </c>
      <c r="AG386" s="18">
        <f>IF(DataTable[[#This Row],[explanation1]]="LS",1,IF(DataTable[[#This Row],[explanation2]]="LS",1,0))</f>
        <v>0</v>
      </c>
      <c r="AH386" s="45" t="s">
        <v>6</v>
      </c>
    </row>
    <row r="387" spans="1:34" x14ac:dyDescent="0.2">
      <c r="A387" s="13">
        <v>385</v>
      </c>
      <c r="B387" s="167" t="s">
        <v>60</v>
      </c>
      <c r="C387" s="167" t="s">
        <v>74</v>
      </c>
      <c r="D387" s="167">
        <v>50</v>
      </c>
      <c r="E387" s="14" t="s">
        <v>46</v>
      </c>
      <c r="F387" s="16">
        <v>64</v>
      </c>
      <c r="G387" s="14" t="s">
        <v>47</v>
      </c>
      <c r="H387" s="15" t="s">
        <v>48</v>
      </c>
      <c r="I387" s="16" t="str">
        <f t="shared" ref="I387:I450" si="6">IF(H387="NIE",G387,IF(G387="R",B387,"R"))</f>
        <v>R</v>
      </c>
      <c r="J387" s="167" t="s">
        <v>49</v>
      </c>
      <c r="K387" s="16" t="s">
        <v>50</v>
      </c>
      <c r="L387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87" s="15">
        <f>IF(DataTable[[#This Row],[3x head (H)/tail (T)?]]=DataTable[[#This Row],[then 4th: H/T/B/0]],1,0)</f>
        <v>0</v>
      </c>
      <c r="N387" s="15">
        <f>IF(DataTable[[#This Row],[then 4th: H/T/B/0]]="B",1,0)</f>
        <v>1</v>
      </c>
      <c r="O387" s="14" t="s">
        <v>436</v>
      </c>
      <c r="P387" s="167">
        <v>14</v>
      </c>
      <c r="Q387" s="169" t="s">
        <v>411</v>
      </c>
      <c r="R387" s="16" t="s">
        <v>58</v>
      </c>
      <c r="S387" s="18" t="s">
        <v>65</v>
      </c>
      <c r="T387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387" s="19" t="s">
        <v>86</v>
      </c>
      <c r="V387" s="20" t="s">
        <v>8</v>
      </c>
      <c r="W387" s="20"/>
      <c r="X387" s="18">
        <v>13</v>
      </c>
      <c r="Y387" s="18">
        <f>IF(DataTable[[#This Row],[explanation1]]="BL",1,IF(DataTable[[#This Row],[explanation2]]="BL",1,IF(DataTable[[#This Row],[explanation1]]="BR",1,IF(DataTable[[#This Row],[explanation2]]="BR",1,0))))</f>
        <v>0</v>
      </c>
      <c r="Z387" s="18">
        <f>IF(DataTable[[#This Row],[explanation1]]="BL",1,IF(DataTable[[#This Row],[explanation2]]="BL",1,0))</f>
        <v>0</v>
      </c>
      <c r="AA387" s="18">
        <f>IF(DataTable[[#This Row],[explanation1]]="WJ",1,IF(DataTable[[#This Row],[explanation2]]="WJ",1,0))</f>
        <v>0</v>
      </c>
      <c r="AB387" s="18">
        <f>IF(DataTable[[#This Row],[explanation1]]="U",1,IF(DataTable[[#This Row],[explanation2]]="U",1,0))</f>
        <v>1</v>
      </c>
      <c r="AC387" s="18">
        <f>IF(DataTable[[#This Row],[explanation1]]="O",1,IF(DataTable[[#This Row],[explanation2]]="O",1,0))</f>
        <v>0</v>
      </c>
      <c r="AD387" s="18">
        <f>IF(DataTable[[#This Row],[explanation1]]="TP",1,IF(DataTable[[#This Row],[explanation2]]="TP",1,0))</f>
        <v>0</v>
      </c>
      <c r="AE387" s="18">
        <f>IF(DataTable[[#This Row],[explanation1]]="WP",1,IF(DataTable[[#This Row],[explanation2]]="WP",1,0))</f>
        <v>0</v>
      </c>
      <c r="AF387" s="18">
        <f>IF(DataTable[[#This Row],[explanation1]]="BR",1,IF(DataTable[[#This Row],[explanation2]]="BR",1,0))</f>
        <v>0</v>
      </c>
      <c r="AG387" s="18">
        <f>IF(DataTable[[#This Row],[explanation1]]="LS",1,IF(DataTable[[#This Row],[explanation2]]="LS",1,0))</f>
        <v>0</v>
      </c>
      <c r="AH387" s="45" t="s">
        <v>417</v>
      </c>
    </row>
    <row r="388" spans="1:34" x14ac:dyDescent="0.2">
      <c r="A388" s="22">
        <v>386</v>
      </c>
      <c r="B388" s="167" t="s">
        <v>57</v>
      </c>
      <c r="C388" s="167" t="s">
        <v>45</v>
      </c>
      <c r="D388" s="167">
        <v>1</v>
      </c>
      <c r="E388" s="23" t="s">
        <v>46</v>
      </c>
      <c r="F388" s="25">
        <v>26</v>
      </c>
      <c r="G388" s="23" t="s">
        <v>47</v>
      </c>
      <c r="H388" s="24" t="s">
        <v>48</v>
      </c>
      <c r="I388" s="25" t="str">
        <f t="shared" si="6"/>
        <v>R</v>
      </c>
      <c r="J388" s="167" t="s">
        <v>49</v>
      </c>
      <c r="K388" s="25" t="s">
        <v>78</v>
      </c>
      <c r="L388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388" s="24">
        <f>IF(DataTable[[#This Row],[3x head (H)/tail (T)?]]=DataTable[[#This Row],[then 4th: H/T/B/0]],1,0)</f>
        <v>0</v>
      </c>
      <c r="N388" s="24">
        <f>IF(DataTable[[#This Row],[then 4th: H/T/B/0]]="B",1,0)</f>
        <v>0</v>
      </c>
      <c r="O388" s="23" t="s">
        <v>436</v>
      </c>
      <c r="P388" s="167">
        <v>14</v>
      </c>
      <c r="Q388" s="168" t="s">
        <v>411</v>
      </c>
      <c r="R388" s="25" t="s">
        <v>58</v>
      </c>
      <c r="S388" s="27" t="s">
        <v>75</v>
      </c>
      <c r="T388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88" s="28" t="s">
        <v>76</v>
      </c>
      <c r="V388" s="29" t="s">
        <v>13</v>
      </c>
      <c r="W388" s="29" t="s">
        <v>6</v>
      </c>
      <c r="X388" s="27"/>
      <c r="Y388" s="27">
        <f>IF(DataTable[[#This Row],[explanation1]]="BL",1,IF(DataTable[[#This Row],[explanation2]]="BL",1,IF(DataTable[[#This Row],[explanation1]]="BR",1,IF(DataTable[[#This Row],[explanation2]]="BR",1,0))))</f>
        <v>1</v>
      </c>
      <c r="Z388" s="18">
        <f>IF(DataTable[[#This Row],[explanation1]]="BL",1,IF(DataTable[[#This Row],[explanation2]]="BL",1,0))</f>
        <v>1</v>
      </c>
      <c r="AA388" s="18">
        <f>IF(DataTable[[#This Row],[explanation1]]="WJ",1,IF(DataTable[[#This Row],[explanation2]]="WJ",1,0))</f>
        <v>0</v>
      </c>
      <c r="AB388" s="18">
        <f>IF(DataTable[[#This Row],[explanation1]]="U",1,IF(DataTable[[#This Row],[explanation2]]="U",1,0))</f>
        <v>0</v>
      </c>
      <c r="AC388" s="18">
        <f>IF(DataTable[[#This Row],[explanation1]]="O",1,IF(DataTable[[#This Row],[explanation2]]="O",1,0))</f>
        <v>0</v>
      </c>
      <c r="AD388" s="18">
        <f>IF(DataTable[[#This Row],[explanation1]]="TP",1,IF(DataTable[[#This Row],[explanation2]]="TP",1,0))</f>
        <v>0</v>
      </c>
      <c r="AE388" s="18">
        <f>IF(DataTable[[#This Row],[explanation1]]="WP",1,IF(DataTable[[#This Row],[explanation2]]="WP",1,0))</f>
        <v>0</v>
      </c>
      <c r="AF388" s="18">
        <f>IF(DataTable[[#This Row],[explanation1]]="BR",1,IF(DataTable[[#This Row],[explanation2]]="BR",1,0))</f>
        <v>0</v>
      </c>
      <c r="AG388" s="18">
        <f>IF(DataTable[[#This Row],[explanation1]]="LS",1,IF(DataTable[[#This Row],[explanation2]]="LS",1,0))</f>
        <v>1</v>
      </c>
      <c r="AH388" s="45" t="s">
        <v>418</v>
      </c>
    </row>
    <row r="389" spans="1:34" x14ac:dyDescent="0.2">
      <c r="A389" s="13">
        <v>387</v>
      </c>
      <c r="B389" s="167" t="s">
        <v>68</v>
      </c>
      <c r="C389" s="167" t="s">
        <v>45</v>
      </c>
      <c r="D389" s="167">
        <v>50</v>
      </c>
      <c r="E389" s="14" t="s">
        <v>46</v>
      </c>
      <c r="F389" s="16">
        <v>23</v>
      </c>
      <c r="G389" s="14" t="s">
        <v>47</v>
      </c>
      <c r="H389" s="15" t="s">
        <v>48</v>
      </c>
      <c r="I389" s="16" t="str">
        <f t="shared" si="6"/>
        <v>R</v>
      </c>
      <c r="J389" s="167" t="s">
        <v>49</v>
      </c>
      <c r="K389" s="16" t="s">
        <v>50</v>
      </c>
      <c r="L389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89" s="15">
        <f>IF(DataTable[[#This Row],[3x head (H)/tail (T)?]]=DataTable[[#This Row],[then 4th: H/T/B/0]],1,0)</f>
        <v>0</v>
      </c>
      <c r="N389" s="15">
        <f>IF(DataTable[[#This Row],[then 4th: H/T/B/0]]="B",1,0)</f>
        <v>1</v>
      </c>
      <c r="O389" s="14" t="s">
        <v>436</v>
      </c>
      <c r="P389" s="167">
        <v>14</v>
      </c>
      <c r="Q389" s="169" t="s">
        <v>411</v>
      </c>
      <c r="R389" s="16" t="s">
        <v>58</v>
      </c>
      <c r="S389" s="18" t="s">
        <v>75</v>
      </c>
      <c r="T389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89" s="19" t="s">
        <v>76</v>
      </c>
      <c r="V389" s="20" t="s">
        <v>6</v>
      </c>
      <c r="W389" s="20"/>
      <c r="X389" s="18"/>
      <c r="Y389" s="18">
        <f>IF(DataTable[[#This Row],[explanation1]]="BL",1,IF(DataTable[[#This Row],[explanation2]]="BL",1,IF(DataTable[[#This Row],[explanation1]]="BR",1,IF(DataTable[[#This Row],[explanation2]]="BR",1,0))))</f>
        <v>1</v>
      </c>
      <c r="Z389" s="18">
        <f>IF(DataTable[[#This Row],[explanation1]]="BL",1,IF(DataTable[[#This Row],[explanation2]]="BL",1,0))</f>
        <v>1</v>
      </c>
      <c r="AA389" s="18">
        <f>IF(DataTable[[#This Row],[explanation1]]="WJ",1,IF(DataTable[[#This Row],[explanation2]]="WJ",1,0))</f>
        <v>0</v>
      </c>
      <c r="AB389" s="18">
        <f>IF(DataTable[[#This Row],[explanation1]]="U",1,IF(DataTable[[#This Row],[explanation2]]="U",1,0))</f>
        <v>0</v>
      </c>
      <c r="AC389" s="18">
        <f>IF(DataTable[[#This Row],[explanation1]]="O",1,IF(DataTable[[#This Row],[explanation2]]="O",1,0))</f>
        <v>0</v>
      </c>
      <c r="AD389" s="18">
        <f>IF(DataTable[[#This Row],[explanation1]]="TP",1,IF(DataTable[[#This Row],[explanation2]]="TP",1,0))</f>
        <v>0</v>
      </c>
      <c r="AE389" s="18">
        <f>IF(DataTable[[#This Row],[explanation1]]="WP",1,IF(DataTable[[#This Row],[explanation2]]="WP",1,0))</f>
        <v>0</v>
      </c>
      <c r="AF389" s="18">
        <f>IF(DataTable[[#This Row],[explanation1]]="BR",1,IF(DataTable[[#This Row],[explanation2]]="BR",1,0))</f>
        <v>0</v>
      </c>
      <c r="AG389" s="18">
        <f>IF(DataTable[[#This Row],[explanation1]]="LS",1,IF(DataTable[[#This Row],[explanation2]]="LS",1,0))</f>
        <v>0</v>
      </c>
      <c r="AH389" s="45" t="s">
        <v>6</v>
      </c>
    </row>
    <row r="390" spans="1:34" x14ac:dyDescent="0.2">
      <c r="A390" s="22">
        <v>388</v>
      </c>
      <c r="B390" s="167" t="s">
        <v>64</v>
      </c>
      <c r="C390" s="167" t="s">
        <v>74</v>
      </c>
      <c r="D390" s="167">
        <v>50</v>
      </c>
      <c r="E390" s="23" t="s">
        <v>58</v>
      </c>
      <c r="F390" s="25">
        <v>26</v>
      </c>
      <c r="G390" s="23" t="s">
        <v>47</v>
      </c>
      <c r="H390" s="24" t="s">
        <v>81</v>
      </c>
      <c r="I390" s="25" t="str">
        <f t="shared" si="6"/>
        <v>M1</v>
      </c>
      <c r="J390" s="167" t="s">
        <v>49</v>
      </c>
      <c r="K390" s="25" t="s">
        <v>50</v>
      </c>
      <c r="L390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90" s="24">
        <f>IF(DataTable[[#This Row],[3x head (H)/tail (T)?]]=DataTable[[#This Row],[then 4th: H/T/B/0]],1,0)</f>
        <v>0</v>
      </c>
      <c r="N390" s="24">
        <f>IF(DataTable[[#This Row],[then 4th: H/T/B/0]]="B",1,0)</f>
        <v>1</v>
      </c>
      <c r="O390" s="23" t="s">
        <v>436</v>
      </c>
      <c r="P390" s="167">
        <v>14</v>
      </c>
      <c r="Q390" s="168" t="s">
        <v>411</v>
      </c>
      <c r="R390" s="25" t="s">
        <v>58</v>
      </c>
      <c r="S390" s="27" t="s">
        <v>75</v>
      </c>
      <c r="T390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90" s="28" t="s">
        <v>76</v>
      </c>
      <c r="V390" s="29" t="s">
        <v>7</v>
      </c>
      <c r="W390" s="29"/>
      <c r="X390" s="27"/>
      <c r="Y390" s="27">
        <f>IF(DataTable[[#This Row],[explanation1]]="BL",1,IF(DataTable[[#This Row],[explanation2]]="BL",1,IF(DataTable[[#This Row],[explanation1]]="BR",1,IF(DataTable[[#This Row],[explanation2]]="BR",1,0))))</f>
        <v>0</v>
      </c>
      <c r="Z390" s="18">
        <f>IF(DataTable[[#This Row],[explanation1]]="BL",1,IF(DataTable[[#This Row],[explanation2]]="BL",1,0))</f>
        <v>0</v>
      </c>
      <c r="AA390" s="18">
        <f>IF(DataTable[[#This Row],[explanation1]]="WJ",1,IF(DataTable[[#This Row],[explanation2]]="WJ",1,0))</f>
        <v>1</v>
      </c>
      <c r="AB390" s="18">
        <f>IF(DataTable[[#This Row],[explanation1]]="U",1,IF(DataTable[[#This Row],[explanation2]]="U",1,0))</f>
        <v>0</v>
      </c>
      <c r="AC390" s="18">
        <f>IF(DataTable[[#This Row],[explanation1]]="O",1,IF(DataTable[[#This Row],[explanation2]]="O",1,0))</f>
        <v>0</v>
      </c>
      <c r="AD390" s="18">
        <f>IF(DataTable[[#This Row],[explanation1]]="TP",1,IF(DataTable[[#This Row],[explanation2]]="TP",1,0))</f>
        <v>0</v>
      </c>
      <c r="AE390" s="18">
        <f>IF(DataTable[[#This Row],[explanation1]]="WP",1,IF(DataTable[[#This Row],[explanation2]]="WP",1,0))</f>
        <v>0</v>
      </c>
      <c r="AF390" s="18">
        <f>IF(DataTable[[#This Row],[explanation1]]="BR",1,IF(DataTable[[#This Row],[explanation2]]="BR",1,0))</f>
        <v>0</v>
      </c>
      <c r="AG390" s="18">
        <f>IF(DataTable[[#This Row],[explanation1]]="LS",1,IF(DataTable[[#This Row],[explanation2]]="LS",1,0))</f>
        <v>0</v>
      </c>
      <c r="AH390" s="45" t="s">
        <v>7</v>
      </c>
    </row>
    <row r="391" spans="1:34" x14ac:dyDescent="0.2">
      <c r="A391" s="13">
        <v>389</v>
      </c>
      <c r="B391" s="167" t="s">
        <v>64</v>
      </c>
      <c r="C391" s="167" t="s">
        <v>45</v>
      </c>
      <c r="D391" s="167">
        <v>1</v>
      </c>
      <c r="E391" s="14" t="s">
        <v>58</v>
      </c>
      <c r="F391" s="16">
        <v>37</v>
      </c>
      <c r="G391" s="14" t="s">
        <v>47</v>
      </c>
      <c r="H391" s="15" t="s">
        <v>48</v>
      </c>
      <c r="I391" s="16" t="str">
        <f t="shared" si="6"/>
        <v>R</v>
      </c>
      <c r="J391" s="167" t="s">
        <v>78</v>
      </c>
      <c r="K391" s="16" t="s">
        <v>50</v>
      </c>
      <c r="L391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91" s="15">
        <f>IF(DataTable[[#This Row],[3x head (H)/tail (T)?]]=DataTable[[#This Row],[then 4th: H/T/B/0]],1,0)</f>
        <v>0</v>
      </c>
      <c r="N391" s="15">
        <f>IF(DataTable[[#This Row],[then 4th: H/T/B/0]]="B",1,0)</f>
        <v>1</v>
      </c>
      <c r="O391" s="14" t="s">
        <v>436</v>
      </c>
      <c r="P391" s="167">
        <v>14</v>
      </c>
      <c r="Q391" s="169" t="s">
        <v>411</v>
      </c>
      <c r="R391" s="16" t="s">
        <v>58</v>
      </c>
      <c r="S391" s="18" t="s">
        <v>65</v>
      </c>
      <c r="T391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391" s="19" t="s">
        <v>95</v>
      </c>
      <c r="V391" s="20" t="s">
        <v>11</v>
      </c>
      <c r="W391" s="20" t="s">
        <v>6</v>
      </c>
      <c r="X391" s="18"/>
      <c r="Y391" s="18">
        <f>IF(DataTable[[#This Row],[explanation1]]="BL",1,IF(DataTable[[#This Row],[explanation2]]="BL",1,IF(DataTable[[#This Row],[explanation1]]="BR",1,IF(DataTable[[#This Row],[explanation2]]="BR",1,0))))</f>
        <v>1</v>
      </c>
      <c r="Z391" s="18">
        <f>IF(DataTable[[#This Row],[explanation1]]="BL",1,IF(DataTable[[#This Row],[explanation2]]="BL",1,0))</f>
        <v>1</v>
      </c>
      <c r="AA391" s="18">
        <f>IF(DataTable[[#This Row],[explanation1]]="WJ",1,IF(DataTable[[#This Row],[explanation2]]="WJ",1,0))</f>
        <v>0</v>
      </c>
      <c r="AB391" s="18">
        <f>IF(DataTable[[#This Row],[explanation1]]="U",1,IF(DataTable[[#This Row],[explanation2]]="U",1,0))</f>
        <v>0</v>
      </c>
      <c r="AC391" s="18">
        <f>IF(DataTable[[#This Row],[explanation1]]="O",1,IF(DataTable[[#This Row],[explanation2]]="O",1,0))</f>
        <v>0</v>
      </c>
      <c r="AD391" s="18">
        <f>IF(DataTable[[#This Row],[explanation1]]="TP",1,IF(DataTable[[#This Row],[explanation2]]="TP",1,0))</f>
        <v>0</v>
      </c>
      <c r="AE391" s="18">
        <f>IF(DataTable[[#This Row],[explanation1]]="WP",1,IF(DataTable[[#This Row],[explanation2]]="WP",1,0))</f>
        <v>1</v>
      </c>
      <c r="AF391" s="18">
        <f>IF(DataTable[[#This Row],[explanation1]]="BR",1,IF(DataTable[[#This Row],[explanation2]]="BR",1,0))</f>
        <v>0</v>
      </c>
      <c r="AG391" s="18">
        <f>IF(DataTable[[#This Row],[explanation1]]="LS",1,IF(DataTable[[#This Row],[explanation2]]="LS",1,0))</f>
        <v>0</v>
      </c>
      <c r="AH391" s="45" t="s">
        <v>412</v>
      </c>
    </row>
    <row r="392" spans="1:34" x14ac:dyDescent="0.2">
      <c r="A392" s="22">
        <v>390</v>
      </c>
      <c r="B392" s="167" t="s">
        <v>70</v>
      </c>
      <c r="C392" s="167" t="s">
        <v>74</v>
      </c>
      <c r="D392" s="167">
        <v>1</v>
      </c>
      <c r="E392" s="23" t="s">
        <v>58</v>
      </c>
      <c r="F392" s="25">
        <v>25</v>
      </c>
      <c r="G392" s="23" t="s">
        <v>47</v>
      </c>
      <c r="H392" s="24" t="s">
        <v>48</v>
      </c>
      <c r="I392" s="25" t="str">
        <f t="shared" si="6"/>
        <v>R</v>
      </c>
      <c r="J392" s="167" t="s">
        <v>78</v>
      </c>
      <c r="K392" s="25" t="s">
        <v>49</v>
      </c>
      <c r="L392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392" s="24">
        <f>IF(DataTable[[#This Row],[3x head (H)/tail (T)?]]=DataTable[[#This Row],[then 4th: H/T/B/0]],1,0)</f>
        <v>0</v>
      </c>
      <c r="N392" s="24">
        <f>IF(DataTable[[#This Row],[then 4th: H/T/B/0]]="B",1,0)</f>
        <v>0</v>
      </c>
      <c r="O392" s="23" t="s">
        <v>436</v>
      </c>
      <c r="P392" s="167">
        <v>14</v>
      </c>
      <c r="Q392" s="168" t="s">
        <v>411</v>
      </c>
      <c r="R392" s="25" t="s">
        <v>58</v>
      </c>
      <c r="S392" s="27" t="s">
        <v>75</v>
      </c>
      <c r="T392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92" s="28" t="s">
        <v>76</v>
      </c>
      <c r="V392" s="29" t="s">
        <v>6</v>
      </c>
      <c r="W392" s="29"/>
      <c r="X392" s="27"/>
      <c r="Y392" s="27">
        <f>IF(DataTable[[#This Row],[explanation1]]="BL",1,IF(DataTable[[#This Row],[explanation2]]="BL",1,IF(DataTable[[#This Row],[explanation1]]="BR",1,IF(DataTable[[#This Row],[explanation2]]="BR",1,0))))</f>
        <v>1</v>
      </c>
      <c r="Z392" s="18">
        <f>IF(DataTable[[#This Row],[explanation1]]="BL",1,IF(DataTable[[#This Row],[explanation2]]="BL",1,0))</f>
        <v>1</v>
      </c>
      <c r="AA392" s="18">
        <f>IF(DataTable[[#This Row],[explanation1]]="WJ",1,IF(DataTable[[#This Row],[explanation2]]="WJ",1,0))</f>
        <v>0</v>
      </c>
      <c r="AB392" s="18">
        <f>IF(DataTable[[#This Row],[explanation1]]="U",1,IF(DataTable[[#This Row],[explanation2]]="U",1,0))</f>
        <v>0</v>
      </c>
      <c r="AC392" s="18">
        <f>IF(DataTable[[#This Row],[explanation1]]="O",1,IF(DataTable[[#This Row],[explanation2]]="O",1,0))</f>
        <v>0</v>
      </c>
      <c r="AD392" s="18">
        <f>IF(DataTable[[#This Row],[explanation1]]="TP",1,IF(DataTable[[#This Row],[explanation2]]="TP",1,0))</f>
        <v>0</v>
      </c>
      <c r="AE392" s="18">
        <f>IF(DataTable[[#This Row],[explanation1]]="WP",1,IF(DataTable[[#This Row],[explanation2]]="WP",1,0))</f>
        <v>0</v>
      </c>
      <c r="AF392" s="18">
        <f>IF(DataTable[[#This Row],[explanation1]]="BR",1,IF(DataTable[[#This Row],[explanation2]]="BR",1,0))</f>
        <v>0</v>
      </c>
      <c r="AG392" s="18">
        <f>IF(DataTable[[#This Row],[explanation1]]="LS",1,IF(DataTable[[#This Row],[explanation2]]="LS",1,0))</f>
        <v>0</v>
      </c>
      <c r="AH392" s="45" t="s">
        <v>6</v>
      </c>
    </row>
    <row r="393" spans="1:34" x14ac:dyDescent="0.2">
      <c r="A393" s="13">
        <v>391</v>
      </c>
      <c r="B393" s="167" t="s">
        <v>70</v>
      </c>
      <c r="C393" s="167" t="s">
        <v>74</v>
      </c>
      <c r="D393" s="167">
        <v>1</v>
      </c>
      <c r="E393" s="14" t="s">
        <v>58</v>
      </c>
      <c r="F393" s="16">
        <v>24</v>
      </c>
      <c r="G393" s="14" t="s">
        <v>47</v>
      </c>
      <c r="H393" s="15" t="s">
        <v>48</v>
      </c>
      <c r="I393" s="16" t="str">
        <f t="shared" si="6"/>
        <v>R</v>
      </c>
      <c r="J393" s="167" t="s">
        <v>49</v>
      </c>
      <c r="K393" s="16" t="s">
        <v>50</v>
      </c>
      <c r="L393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93" s="15">
        <f>IF(DataTable[[#This Row],[3x head (H)/tail (T)?]]=DataTable[[#This Row],[then 4th: H/T/B/0]],1,0)</f>
        <v>0</v>
      </c>
      <c r="N393" s="15">
        <f>IF(DataTable[[#This Row],[then 4th: H/T/B/0]]="B",1,0)</f>
        <v>1</v>
      </c>
      <c r="O393" s="14" t="s">
        <v>436</v>
      </c>
      <c r="P393" s="167">
        <v>14</v>
      </c>
      <c r="Q393" s="169" t="s">
        <v>411</v>
      </c>
      <c r="R393" s="16" t="s">
        <v>58</v>
      </c>
      <c r="S393" s="18" t="s">
        <v>75</v>
      </c>
      <c r="T393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93" s="19" t="s">
        <v>76</v>
      </c>
      <c r="V393" s="20" t="s">
        <v>6</v>
      </c>
      <c r="W393" s="20"/>
      <c r="X393" s="18"/>
      <c r="Y393" s="18">
        <f>IF(DataTable[[#This Row],[explanation1]]="BL",1,IF(DataTable[[#This Row],[explanation2]]="BL",1,IF(DataTable[[#This Row],[explanation1]]="BR",1,IF(DataTable[[#This Row],[explanation2]]="BR",1,0))))</f>
        <v>1</v>
      </c>
      <c r="Z393" s="18">
        <f>IF(DataTable[[#This Row],[explanation1]]="BL",1,IF(DataTable[[#This Row],[explanation2]]="BL",1,0))</f>
        <v>1</v>
      </c>
      <c r="AA393" s="18">
        <f>IF(DataTable[[#This Row],[explanation1]]="WJ",1,IF(DataTable[[#This Row],[explanation2]]="WJ",1,0))</f>
        <v>0</v>
      </c>
      <c r="AB393" s="18">
        <f>IF(DataTable[[#This Row],[explanation1]]="U",1,IF(DataTable[[#This Row],[explanation2]]="U",1,0))</f>
        <v>0</v>
      </c>
      <c r="AC393" s="18">
        <f>IF(DataTable[[#This Row],[explanation1]]="O",1,IF(DataTable[[#This Row],[explanation2]]="O",1,0))</f>
        <v>0</v>
      </c>
      <c r="AD393" s="18">
        <f>IF(DataTable[[#This Row],[explanation1]]="TP",1,IF(DataTable[[#This Row],[explanation2]]="TP",1,0))</f>
        <v>0</v>
      </c>
      <c r="AE393" s="18">
        <f>IF(DataTable[[#This Row],[explanation1]]="WP",1,IF(DataTable[[#This Row],[explanation2]]="WP",1,0))</f>
        <v>0</v>
      </c>
      <c r="AF393" s="18">
        <f>IF(DataTable[[#This Row],[explanation1]]="BR",1,IF(DataTable[[#This Row],[explanation2]]="BR",1,0))</f>
        <v>0</v>
      </c>
      <c r="AG393" s="18">
        <f>IF(DataTable[[#This Row],[explanation1]]="LS",1,IF(DataTable[[#This Row],[explanation2]]="LS",1,0))</f>
        <v>0</v>
      </c>
      <c r="AH393" s="45" t="s">
        <v>6</v>
      </c>
    </row>
    <row r="394" spans="1:34" x14ac:dyDescent="0.2">
      <c r="A394" s="22">
        <v>392</v>
      </c>
      <c r="B394" s="167" t="s">
        <v>70</v>
      </c>
      <c r="C394" s="167" t="s">
        <v>45</v>
      </c>
      <c r="D394" s="167">
        <v>50</v>
      </c>
      <c r="E394" s="23" t="s">
        <v>46</v>
      </c>
      <c r="F394" s="25">
        <v>19</v>
      </c>
      <c r="G394" s="23" t="s">
        <v>47</v>
      </c>
      <c r="H394" s="24" t="s">
        <v>48</v>
      </c>
      <c r="I394" s="25" t="str">
        <f t="shared" si="6"/>
        <v>R</v>
      </c>
      <c r="J394" s="167" t="s">
        <v>49</v>
      </c>
      <c r="K394" s="25" t="s">
        <v>50</v>
      </c>
      <c r="L394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94" s="24">
        <f>IF(DataTable[[#This Row],[3x head (H)/tail (T)?]]=DataTable[[#This Row],[then 4th: H/T/B/0]],1,0)</f>
        <v>0</v>
      </c>
      <c r="N394" s="24">
        <f>IF(DataTable[[#This Row],[then 4th: H/T/B/0]]="B",1,0)</f>
        <v>1</v>
      </c>
      <c r="O394" s="23" t="s">
        <v>436</v>
      </c>
      <c r="P394" s="167">
        <v>14</v>
      </c>
      <c r="Q394" s="168" t="s">
        <v>411</v>
      </c>
      <c r="R394" s="25" t="s">
        <v>58</v>
      </c>
      <c r="S394" s="27" t="s">
        <v>75</v>
      </c>
      <c r="T394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94" s="28" t="s">
        <v>76</v>
      </c>
      <c r="V394" s="29" t="s">
        <v>6</v>
      </c>
      <c r="W394" s="29" t="s">
        <v>13</v>
      </c>
      <c r="X394" s="27"/>
      <c r="Y394" s="27">
        <f>IF(DataTable[[#This Row],[explanation1]]="BL",1,IF(DataTable[[#This Row],[explanation2]]="BL",1,IF(DataTable[[#This Row],[explanation1]]="BR",1,IF(DataTable[[#This Row],[explanation2]]="BR",1,0))))</f>
        <v>1</v>
      </c>
      <c r="Z394" s="18">
        <f>IF(DataTable[[#This Row],[explanation1]]="BL",1,IF(DataTable[[#This Row],[explanation2]]="BL",1,0))</f>
        <v>1</v>
      </c>
      <c r="AA394" s="18">
        <f>IF(DataTable[[#This Row],[explanation1]]="WJ",1,IF(DataTable[[#This Row],[explanation2]]="WJ",1,0))</f>
        <v>0</v>
      </c>
      <c r="AB394" s="18">
        <f>IF(DataTable[[#This Row],[explanation1]]="U",1,IF(DataTable[[#This Row],[explanation2]]="U",1,0))</f>
        <v>0</v>
      </c>
      <c r="AC394" s="18">
        <f>IF(DataTable[[#This Row],[explanation1]]="O",1,IF(DataTable[[#This Row],[explanation2]]="O",1,0))</f>
        <v>0</v>
      </c>
      <c r="AD394" s="18">
        <f>IF(DataTable[[#This Row],[explanation1]]="TP",1,IF(DataTable[[#This Row],[explanation2]]="TP",1,0))</f>
        <v>0</v>
      </c>
      <c r="AE394" s="18">
        <f>IF(DataTable[[#This Row],[explanation1]]="WP",1,IF(DataTable[[#This Row],[explanation2]]="WP",1,0))</f>
        <v>0</v>
      </c>
      <c r="AF394" s="18">
        <f>IF(DataTable[[#This Row],[explanation1]]="BR",1,IF(DataTable[[#This Row],[explanation2]]="BR",1,0))</f>
        <v>0</v>
      </c>
      <c r="AG394" s="18">
        <f>IF(DataTable[[#This Row],[explanation1]]="LS",1,IF(DataTable[[#This Row],[explanation2]]="LS",1,0))</f>
        <v>1</v>
      </c>
      <c r="AH394" s="45" t="s">
        <v>419</v>
      </c>
    </row>
    <row r="395" spans="1:34" x14ac:dyDescent="0.2">
      <c r="A395" s="13">
        <v>393</v>
      </c>
      <c r="B395" s="167" t="s">
        <v>44</v>
      </c>
      <c r="C395" s="167" t="s">
        <v>45</v>
      </c>
      <c r="D395" s="167">
        <v>1</v>
      </c>
      <c r="E395" s="14" t="s">
        <v>58</v>
      </c>
      <c r="F395" s="16">
        <v>47</v>
      </c>
      <c r="G395" s="14" t="s">
        <v>47</v>
      </c>
      <c r="H395" s="15" t="s">
        <v>48</v>
      </c>
      <c r="I395" s="16" t="str">
        <f t="shared" si="6"/>
        <v>R</v>
      </c>
      <c r="J395" s="167" t="s">
        <v>49</v>
      </c>
      <c r="K395" s="16" t="s">
        <v>78</v>
      </c>
      <c r="L395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395" s="15">
        <f>IF(DataTable[[#This Row],[3x head (H)/tail (T)?]]=DataTable[[#This Row],[then 4th: H/T/B/0]],1,0)</f>
        <v>0</v>
      </c>
      <c r="N395" s="15">
        <f>IF(DataTable[[#This Row],[then 4th: H/T/B/0]]="B",1,0)</f>
        <v>0</v>
      </c>
      <c r="O395" s="14" t="s">
        <v>436</v>
      </c>
      <c r="P395" s="167">
        <v>21</v>
      </c>
      <c r="Q395" s="169" t="s">
        <v>411</v>
      </c>
      <c r="R395" s="16" t="s">
        <v>58</v>
      </c>
      <c r="S395" s="18" t="s">
        <v>65</v>
      </c>
      <c r="T395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395" s="19" t="s">
        <v>86</v>
      </c>
      <c r="V395" s="20" t="s">
        <v>8</v>
      </c>
      <c r="W395" s="20"/>
      <c r="X395" s="18"/>
      <c r="Y395" s="18">
        <f>IF(DataTable[[#This Row],[explanation1]]="BL",1,IF(DataTable[[#This Row],[explanation2]]="BL",1,IF(DataTable[[#This Row],[explanation1]]="BR",1,IF(DataTable[[#This Row],[explanation2]]="BR",1,0))))</f>
        <v>0</v>
      </c>
      <c r="Z395" s="18">
        <f>IF(DataTable[[#This Row],[explanation1]]="BL",1,IF(DataTable[[#This Row],[explanation2]]="BL",1,0))</f>
        <v>0</v>
      </c>
      <c r="AA395" s="18">
        <f>IF(DataTable[[#This Row],[explanation1]]="WJ",1,IF(DataTable[[#This Row],[explanation2]]="WJ",1,0))</f>
        <v>0</v>
      </c>
      <c r="AB395" s="18">
        <f>IF(DataTable[[#This Row],[explanation1]]="U",1,IF(DataTable[[#This Row],[explanation2]]="U",1,0))</f>
        <v>1</v>
      </c>
      <c r="AC395" s="18">
        <f>IF(DataTable[[#This Row],[explanation1]]="O",1,IF(DataTable[[#This Row],[explanation2]]="O",1,0))</f>
        <v>0</v>
      </c>
      <c r="AD395" s="18">
        <f>IF(DataTable[[#This Row],[explanation1]]="TP",1,IF(DataTable[[#This Row],[explanation2]]="TP",1,0))</f>
        <v>0</v>
      </c>
      <c r="AE395" s="18">
        <f>IF(DataTable[[#This Row],[explanation1]]="WP",1,IF(DataTable[[#This Row],[explanation2]]="WP",1,0))</f>
        <v>0</v>
      </c>
      <c r="AF395" s="18">
        <f>IF(DataTable[[#This Row],[explanation1]]="BR",1,IF(DataTable[[#This Row],[explanation2]]="BR",1,0))</f>
        <v>0</v>
      </c>
      <c r="AG395" s="18">
        <f>IF(DataTable[[#This Row],[explanation1]]="LS",1,IF(DataTable[[#This Row],[explanation2]]="LS",1,0))</f>
        <v>0</v>
      </c>
      <c r="AH395" s="45" t="s">
        <v>8</v>
      </c>
    </row>
    <row r="396" spans="1:34" x14ac:dyDescent="0.2">
      <c r="A396" s="22">
        <v>394</v>
      </c>
      <c r="B396" s="167" t="s">
        <v>44</v>
      </c>
      <c r="C396" s="167" t="s">
        <v>45</v>
      </c>
      <c r="D396" s="167">
        <v>50</v>
      </c>
      <c r="E396" s="23" t="s">
        <v>46</v>
      </c>
      <c r="F396" s="25">
        <v>36</v>
      </c>
      <c r="G396" s="23" t="s">
        <v>47</v>
      </c>
      <c r="H396" s="24" t="s">
        <v>48</v>
      </c>
      <c r="I396" s="25" t="str">
        <f t="shared" si="6"/>
        <v>R</v>
      </c>
      <c r="J396" s="167" t="s">
        <v>49</v>
      </c>
      <c r="K396" s="25" t="s">
        <v>50</v>
      </c>
      <c r="L396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96" s="24">
        <f>IF(DataTable[[#This Row],[3x head (H)/tail (T)?]]=DataTable[[#This Row],[then 4th: H/T/B/0]],1,0)</f>
        <v>0</v>
      </c>
      <c r="N396" s="24">
        <f>IF(DataTable[[#This Row],[then 4th: H/T/B/0]]="B",1,0)</f>
        <v>1</v>
      </c>
      <c r="O396" s="23" t="s">
        <v>436</v>
      </c>
      <c r="P396" s="167">
        <v>21</v>
      </c>
      <c r="Q396" s="168" t="s">
        <v>411</v>
      </c>
      <c r="R396" s="25" t="s">
        <v>58</v>
      </c>
      <c r="S396" s="27" t="s">
        <v>75</v>
      </c>
      <c r="T396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96" s="28" t="s">
        <v>76</v>
      </c>
      <c r="V396" s="29" t="s">
        <v>6</v>
      </c>
      <c r="W396" s="29" t="s">
        <v>12</v>
      </c>
      <c r="X396" s="27"/>
      <c r="Y396" s="27">
        <f>IF(DataTable[[#This Row],[explanation1]]="BL",1,IF(DataTable[[#This Row],[explanation2]]="BL",1,IF(DataTable[[#This Row],[explanation1]]="BR",1,IF(DataTable[[#This Row],[explanation2]]="BR",1,0))))</f>
        <v>1</v>
      </c>
      <c r="Z396" s="18">
        <f>IF(DataTable[[#This Row],[explanation1]]="BL",1,IF(DataTable[[#This Row],[explanation2]]="BL",1,0))</f>
        <v>1</v>
      </c>
      <c r="AA396" s="18">
        <f>IF(DataTable[[#This Row],[explanation1]]="WJ",1,IF(DataTable[[#This Row],[explanation2]]="WJ",1,0))</f>
        <v>0</v>
      </c>
      <c r="AB396" s="18">
        <f>IF(DataTable[[#This Row],[explanation1]]="U",1,IF(DataTable[[#This Row],[explanation2]]="U",1,0))</f>
        <v>0</v>
      </c>
      <c r="AC396" s="18">
        <f>IF(DataTable[[#This Row],[explanation1]]="O",1,IF(DataTable[[#This Row],[explanation2]]="O",1,0))</f>
        <v>0</v>
      </c>
      <c r="AD396" s="18">
        <f>IF(DataTable[[#This Row],[explanation1]]="TP",1,IF(DataTable[[#This Row],[explanation2]]="TP",1,0))</f>
        <v>0</v>
      </c>
      <c r="AE396" s="18">
        <f>IF(DataTable[[#This Row],[explanation1]]="WP",1,IF(DataTable[[#This Row],[explanation2]]="WP",1,0))</f>
        <v>0</v>
      </c>
      <c r="AF396" s="18">
        <f>IF(DataTable[[#This Row],[explanation1]]="BR",1,IF(DataTable[[#This Row],[explanation2]]="BR",1,0))</f>
        <v>1</v>
      </c>
      <c r="AG396" s="18">
        <f>IF(DataTable[[#This Row],[explanation1]]="LS",1,IF(DataTable[[#This Row],[explanation2]]="LS",1,0))</f>
        <v>0</v>
      </c>
      <c r="AH396" s="45" t="s">
        <v>420</v>
      </c>
    </row>
    <row r="397" spans="1:34" x14ac:dyDescent="0.2">
      <c r="A397" s="13">
        <v>395</v>
      </c>
      <c r="B397" s="167" t="s">
        <v>60</v>
      </c>
      <c r="C397" s="167" t="s">
        <v>74</v>
      </c>
      <c r="D397" s="167">
        <v>1</v>
      </c>
      <c r="E397" s="14" t="s">
        <v>46</v>
      </c>
      <c r="F397" s="16">
        <v>21</v>
      </c>
      <c r="G397" s="14" t="s">
        <v>47</v>
      </c>
      <c r="H397" s="15" t="s">
        <v>48</v>
      </c>
      <c r="I397" s="16" t="str">
        <f t="shared" si="6"/>
        <v>R</v>
      </c>
      <c r="J397" s="167" t="s">
        <v>49</v>
      </c>
      <c r="K397" s="16" t="s">
        <v>50</v>
      </c>
      <c r="L397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97" s="15">
        <f>IF(DataTable[[#This Row],[3x head (H)/tail (T)?]]=DataTable[[#This Row],[then 4th: H/T/B/0]],1,0)</f>
        <v>0</v>
      </c>
      <c r="N397" s="15">
        <f>IF(DataTable[[#This Row],[then 4th: H/T/B/0]]="B",1,0)</f>
        <v>1</v>
      </c>
      <c r="O397" s="14" t="s">
        <v>436</v>
      </c>
      <c r="P397" s="167">
        <v>21</v>
      </c>
      <c r="Q397" s="169" t="s">
        <v>411</v>
      </c>
      <c r="R397" s="16" t="s">
        <v>58</v>
      </c>
      <c r="S397" s="18" t="s">
        <v>75</v>
      </c>
      <c r="T397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97" s="19" t="s">
        <v>76</v>
      </c>
      <c r="V397" s="20" t="s">
        <v>11</v>
      </c>
      <c r="W397" s="20" t="s">
        <v>6</v>
      </c>
      <c r="X397" s="18"/>
      <c r="Y397" s="18">
        <f>IF(DataTable[[#This Row],[explanation1]]="BL",1,IF(DataTable[[#This Row],[explanation2]]="BL",1,IF(DataTable[[#This Row],[explanation1]]="BR",1,IF(DataTable[[#This Row],[explanation2]]="BR",1,0))))</f>
        <v>1</v>
      </c>
      <c r="Z397" s="18">
        <f>IF(DataTable[[#This Row],[explanation1]]="BL",1,IF(DataTable[[#This Row],[explanation2]]="BL",1,0))</f>
        <v>1</v>
      </c>
      <c r="AA397" s="18">
        <f>IF(DataTable[[#This Row],[explanation1]]="WJ",1,IF(DataTable[[#This Row],[explanation2]]="WJ",1,0))</f>
        <v>0</v>
      </c>
      <c r="AB397" s="18">
        <f>IF(DataTable[[#This Row],[explanation1]]="U",1,IF(DataTable[[#This Row],[explanation2]]="U",1,0))</f>
        <v>0</v>
      </c>
      <c r="AC397" s="18">
        <f>IF(DataTable[[#This Row],[explanation1]]="O",1,IF(DataTable[[#This Row],[explanation2]]="O",1,0))</f>
        <v>0</v>
      </c>
      <c r="AD397" s="18">
        <f>IF(DataTable[[#This Row],[explanation1]]="TP",1,IF(DataTable[[#This Row],[explanation2]]="TP",1,0))</f>
        <v>0</v>
      </c>
      <c r="AE397" s="18">
        <f>IF(DataTable[[#This Row],[explanation1]]="WP",1,IF(DataTable[[#This Row],[explanation2]]="WP",1,0))</f>
        <v>1</v>
      </c>
      <c r="AF397" s="18">
        <f>IF(DataTable[[#This Row],[explanation1]]="BR",1,IF(DataTable[[#This Row],[explanation2]]="BR",1,0))</f>
        <v>0</v>
      </c>
      <c r="AG397" s="18">
        <f>IF(DataTable[[#This Row],[explanation1]]="LS",1,IF(DataTable[[#This Row],[explanation2]]="LS",1,0))</f>
        <v>0</v>
      </c>
      <c r="AH397" s="45" t="s">
        <v>421</v>
      </c>
    </row>
    <row r="398" spans="1:34" x14ac:dyDescent="0.2">
      <c r="A398" s="22">
        <v>396</v>
      </c>
      <c r="B398" s="167" t="s">
        <v>60</v>
      </c>
      <c r="C398" s="167" t="s">
        <v>74</v>
      </c>
      <c r="D398" s="167">
        <v>50</v>
      </c>
      <c r="E398" s="23" t="s">
        <v>46</v>
      </c>
      <c r="F398" s="25">
        <v>22</v>
      </c>
      <c r="G398" s="23" t="s">
        <v>47</v>
      </c>
      <c r="H398" s="24" t="s">
        <v>81</v>
      </c>
      <c r="I398" s="25" t="str">
        <f t="shared" si="6"/>
        <v>L5</v>
      </c>
      <c r="J398" s="167" t="s">
        <v>49</v>
      </c>
      <c r="K398" s="25" t="s">
        <v>50</v>
      </c>
      <c r="L398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398" s="24">
        <f>IF(DataTable[[#This Row],[3x head (H)/tail (T)?]]=DataTable[[#This Row],[then 4th: H/T/B/0]],1,0)</f>
        <v>0</v>
      </c>
      <c r="N398" s="24">
        <f>IF(DataTable[[#This Row],[then 4th: H/T/B/0]]="B",1,0)</f>
        <v>1</v>
      </c>
      <c r="O398" s="23" t="s">
        <v>436</v>
      </c>
      <c r="P398" s="167">
        <v>21</v>
      </c>
      <c r="Q398" s="168" t="s">
        <v>411</v>
      </c>
      <c r="R398" s="25" t="s">
        <v>58</v>
      </c>
      <c r="S398" s="27" t="s">
        <v>75</v>
      </c>
      <c r="T398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398" s="28" t="s">
        <v>76</v>
      </c>
      <c r="V398" s="29" t="s">
        <v>7</v>
      </c>
      <c r="W398" s="29"/>
      <c r="X398" s="27"/>
      <c r="Y398" s="27">
        <f>IF(DataTable[[#This Row],[explanation1]]="BL",1,IF(DataTable[[#This Row],[explanation2]]="BL",1,IF(DataTable[[#This Row],[explanation1]]="BR",1,IF(DataTable[[#This Row],[explanation2]]="BR",1,0))))</f>
        <v>0</v>
      </c>
      <c r="Z398" s="18">
        <f>IF(DataTable[[#This Row],[explanation1]]="BL",1,IF(DataTable[[#This Row],[explanation2]]="BL",1,0))</f>
        <v>0</v>
      </c>
      <c r="AA398" s="18">
        <f>IF(DataTable[[#This Row],[explanation1]]="WJ",1,IF(DataTable[[#This Row],[explanation2]]="WJ",1,0))</f>
        <v>1</v>
      </c>
      <c r="AB398" s="18">
        <f>IF(DataTable[[#This Row],[explanation1]]="U",1,IF(DataTable[[#This Row],[explanation2]]="U",1,0))</f>
        <v>0</v>
      </c>
      <c r="AC398" s="18">
        <f>IF(DataTable[[#This Row],[explanation1]]="O",1,IF(DataTable[[#This Row],[explanation2]]="O",1,0))</f>
        <v>0</v>
      </c>
      <c r="AD398" s="18">
        <f>IF(DataTable[[#This Row],[explanation1]]="TP",1,IF(DataTable[[#This Row],[explanation2]]="TP",1,0))</f>
        <v>0</v>
      </c>
      <c r="AE398" s="18">
        <f>IF(DataTable[[#This Row],[explanation1]]="WP",1,IF(DataTable[[#This Row],[explanation2]]="WP",1,0))</f>
        <v>0</v>
      </c>
      <c r="AF398" s="18">
        <f>IF(DataTable[[#This Row],[explanation1]]="BR",1,IF(DataTable[[#This Row],[explanation2]]="BR",1,0))</f>
        <v>0</v>
      </c>
      <c r="AG398" s="18">
        <f>IF(DataTable[[#This Row],[explanation1]]="LS",1,IF(DataTable[[#This Row],[explanation2]]="LS",1,0))</f>
        <v>0</v>
      </c>
      <c r="AH398" s="45" t="s">
        <v>7</v>
      </c>
    </row>
    <row r="399" spans="1:34" x14ac:dyDescent="0.2">
      <c r="A399" s="13">
        <v>397</v>
      </c>
      <c r="B399" s="167" t="s">
        <v>60</v>
      </c>
      <c r="C399" s="167" t="s">
        <v>74</v>
      </c>
      <c r="D399" s="167">
        <v>50</v>
      </c>
      <c r="E399" s="14" t="s">
        <v>58</v>
      </c>
      <c r="F399" s="16">
        <v>38</v>
      </c>
      <c r="G399" s="14" t="s">
        <v>47</v>
      </c>
      <c r="H399" s="15" t="s">
        <v>48</v>
      </c>
      <c r="I399" s="16" t="str">
        <f t="shared" si="6"/>
        <v>R</v>
      </c>
      <c r="J399" s="167" t="s">
        <v>78</v>
      </c>
      <c r="K399" s="16" t="s">
        <v>49</v>
      </c>
      <c r="L399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399" s="15">
        <f>IF(DataTable[[#This Row],[3x head (H)/tail (T)?]]=DataTable[[#This Row],[then 4th: H/T/B/0]],1,0)</f>
        <v>0</v>
      </c>
      <c r="N399" s="15">
        <f>IF(DataTable[[#This Row],[then 4th: H/T/B/0]]="B",1,0)</f>
        <v>0</v>
      </c>
      <c r="O399" s="14" t="s">
        <v>436</v>
      </c>
      <c r="P399" s="167">
        <v>21</v>
      </c>
      <c r="Q399" s="169" t="s">
        <v>411</v>
      </c>
      <c r="R399" s="16" t="s">
        <v>58</v>
      </c>
      <c r="S399" s="18" t="s">
        <v>54</v>
      </c>
      <c r="T399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399" s="19" t="s">
        <v>116</v>
      </c>
      <c r="V399" s="20" t="s">
        <v>6</v>
      </c>
      <c r="W399" s="20"/>
      <c r="X399" s="18"/>
      <c r="Y399" s="18">
        <f>IF(DataTable[[#This Row],[explanation1]]="BL",1,IF(DataTable[[#This Row],[explanation2]]="BL",1,IF(DataTable[[#This Row],[explanation1]]="BR",1,IF(DataTable[[#This Row],[explanation2]]="BR",1,0))))</f>
        <v>1</v>
      </c>
      <c r="Z399" s="18">
        <f>IF(DataTable[[#This Row],[explanation1]]="BL",1,IF(DataTable[[#This Row],[explanation2]]="BL",1,0))</f>
        <v>1</v>
      </c>
      <c r="AA399" s="18">
        <f>IF(DataTable[[#This Row],[explanation1]]="WJ",1,IF(DataTable[[#This Row],[explanation2]]="WJ",1,0))</f>
        <v>0</v>
      </c>
      <c r="AB399" s="18">
        <f>IF(DataTable[[#This Row],[explanation1]]="U",1,IF(DataTable[[#This Row],[explanation2]]="U",1,0))</f>
        <v>0</v>
      </c>
      <c r="AC399" s="18">
        <f>IF(DataTable[[#This Row],[explanation1]]="O",1,IF(DataTable[[#This Row],[explanation2]]="O",1,0))</f>
        <v>0</v>
      </c>
      <c r="AD399" s="18">
        <f>IF(DataTable[[#This Row],[explanation1]]="TP",1,IF(DataTable[[#This Row],[explanation2]]="TP",1,0))</f>
        <v>0</v>
      </c>
      <c r="AE399" s="18">
        <f>IF(DataTable[[#This Row],[explanation1]]="WP",1,IF(DataTable[[#This Row],[explanation2]]="WP",1,0))</f>
        <v>0</v>
      </c>
      <c r="AF399" s="18">
        <f>IF(DataTable[[#This Row],[explanation1]]="BR",1,IF(DataTable[[#This Row],[explanation2]]="BR",1,0))</f>
        <v>0</v>
      </c>
      <c r="AG399" s="18">
        <f>IF(DataTable[[#This Row],[explanation1]]="LS",1,IF(DataTable[[#This Row],[explanation2]]="LS",1,0))</f>
        <v>0</v>
      </c>
      <c r="AH399" s="45" t="s">
        <v>6</v>
      </c>
    </row>
    <row r="400" spans="1:34" x14ac:dyDescent="0.2">
      <c r="A400" s="22">
        <v>398</v>
      </c>
      <c r="B400" s="167" t="s">
        <v>57</v>
      </c>
      <c r="C400" s="167" t="s">
        <v>74</v>
      </c>
      <c r="D400" s="167">
        <v>50</v>
      </c>
      <c r="E400" s="23" t="s">
        <v>58</v>
      </c>
      <c r="F400" s="25">
        <v>70</v>
      </c>
      <c r="G400" s="23" t="s">
        <v>57</v>
      </c>
      <c r="H400" s="24" t="s">
        <v>48</v>
      </c>
      <c r="I400" s="25" t="str">
        <f t="shared" si="6"/>
        <v>H1</v>
      </c>
      <c r="J400" s="167" t="s">
        <v>49</v>
      </c>
      <c r="K400" s="25" t="s">
        <v>50</v>
      </c>
      <c r="L400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00" s="24">
        <f>IF(DataTable[[#This Row],[3x head (H)/tail (T)?]]=DataTable[[#This Row],[then 4th: H/T/B/0]],1,0)</f>
        <v>0</v>
      </c>
      <c r="N400" s="24">
        <f>IF(DataTable[[#This Row],[then 4th: H/T/B/0]]="B",1,0)</f>
        <v>1</v>
      </c>
      <c r="O400" s="23" t="s">
        <v>436</v>
      </c>
      <c r="P400" s="167">
        <v>21</v>
      </c>
      <c r="Q400" s="168" t="s">
        <v>411</v>
      </c>
      <c r="R400" s="25" t="s">
        <v>58</v>
      </c>
      <c r="S400" s="27" t="s">
        <v>54</v>
      </c>
      <c r="T400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400" s="28" t="s">
        <v>88</v>
      </c>
      <c r="V400" s="29" t="s">
        <v>8</v>
      </c>
      <c r="W400" s="29"/>
      <c r="X400" s="27">
        <v>7</v>
      </c>
      <c r="Y400" s="27">
        <f>IF(DataTable[[#This Row],[explanation1]]="BL",1,IF(DataTable[[#This Row],[explanation2]]="BL",1,IF(DataTable[[#This Row],[explanation1]]="BR",1,IF(DataTable[[#This Row],[explanation2]]="BR",1,0))))</f>
        <v>0</v>
      </c>
      <c r="Z400" s="18">
        <f>IF(DataTable[[#This Row],[explanation1]]="BL",1,IF(DataTable[[#This Row],[explanation2]]="BL",1,0))</f>
        <v>0</v>
      </c>
      <c r="AA400" s="18">
        <f>IF(DataTable[[#This Row],[explanation1]]="WJ",1,IF(DataTable[[#This Row],[explanation2]]="WJ",1,0))</f>
        <v>0</v>
      </c>
      <c r="AB400" s="18">
        <f>IF(DataTable[[#This Row],[explanation1]]="U",1,IF(DataTable[[#This Row],[explanation2]]="U",1,0))</f>
        <v>1</v>
      </c>
      <c r="AC400" s="18">
        <f>IF(DataTable[[#This Row],[explanation1]]="O",1,IF(DataTable[[#This Row],[explanation2]]="O",1,0))</f>
        <v>0</v>
      </c>
      <c r="AD400" s="18">
        <f>IF(DataTable[[#This Row],[explanation1]]="TP",1,IF(DataTable[[#This Row],[explanation2]]="TP",1,0))</f>
        <v>0</v>
      </c>
      <c r="AE400" s="18">
        <f>IF(DataTable[[#This Row],[explanation1]]="WP",1,IF(DataTable[[#This Row],[explanation2]]="WP",1,0))</f>
        <v>0</v>
      </c>
      <c r="AF400" s="18">
        <f>IF(DataTable[[#This Row],[explanation1]]="BR",1,IF(DataTable[[#This Row],[explanation2]]="BR",1,0))</f>
        <v>0</v>
      </c>
      <c r="AG400" s="18">
        <f>IF(DataTable[[#This Row],[explanation1]]="LS",1,IF(DataTable[[#This Row],[explanation2]]="LS",1,0))</f>
        <v>0</v>
      </c>
      <c r="AH400" s="45" t="s">
        <v>422</v>
      </c>
    </row>
    <row r="401" spans="1:34" x14ac:dyDescent="0.2">
      <c r="A401" s="13">
        <v>399</v>
      </c>
      <c r="B401" s="167" t="s">
        <v>57</v>
      </c>
      <c r="C401" s="167" t="s">
        <v>45</v>
      </c>
      <c r="D401" s="167">
        <v>50</v>
      </c>
      <c r="E401" s="14" t="s">
        <v>46</v>
      </c>
      <c r="F401" s="16">
        <v>18</v>
      </c>
      <c r="G401" s="14" t="s">
        <v>57</v>
      </c>
      <c r="H401" s="15" t="s">
        <v>48</v>
      </c>
      <c r="I401" s="16" t="str">
        <f t="shared" si="6"/>
        <v>H1</v>
      </c>
      <c r="J401" s="167" t="s">
        <v>49</v>
      </c>
      <c r="K401" s="16" t="s">
        <v>49</v>
      </c>
      <c r="L401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01" s="15">
        <f>IF(DataTable[[#This Row],[3x head (H)/tail (T)?]]=DataTable[[#This Row],[then 4th: H/T/B/0]],1,0)</f>
        <v>1</v>
      </c>
      <c r="N401" s="15">
        <f>IF(DataTable[[#This Row],[then 4th: H/T/B/0]]="B",1,0)</f>
        <v>0</v>
      </c>
      <c r="O401" s="14" t="s">
        <v>436</v>
      </c>
      <c r="P401" s="167">
        <v>21</v>
      </c>
      <c r="Q401" s="169" t="s">
        <v>411</v>
      </c>
      <c r="R401" s="16" t="s">
        <v>58</v>
      </c>
      <c r="S401" s="18" t="s">
        <v>75</v>
      </c>
      <c r="T401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01" s="19" t="s">
        <v>76</v>
      </c>
      <c r="V401" s="20" t="s">
        <v>132</v>
      </c>
      <c r="W401" s="20"/>
      <c r="X401" s="18"/>
      <c r="Y401" s="18">
        <f>IF(DataTable[[#This Row],[explanation1]]="BL",1,IF(DataTable[[#This Row],[explanation2]]="BL",1,IF(DataTable[[#This Row],[explanation1]]="BR",1,IF(DataTable[[#This Row],[explanation2]]="BR",1,0))))</f>
        <v>0</v>
      </c>
      <c r="Z401" s="18">
        <f>IF(DataTable[[#This Row],[explanation1]]="BL",1,IF(DataTable[[#This Row],[explanation2]]="BL",1,0))</f>
        <v>0</v>
      </c>
      <c r="AA401" s="18">
        <f>IF(DataTable[[#This Row],[explanation1]]="WJ",1,IF(DataTable[[#This Row],[explanation2]]="WJ",1,0))</f>
        <v>0</v>
      </c>
      <c r="AB401" s="18">
        <f>IF(DataTable[[#This Row],[explanation1]]="U",1,IF(DataTable[[#This Row],[explanation2]]="U",1,0))</f>
        <v>0</v>
      </c>
      <c r="AC401" s="18">
        <f>IF(DataTable[[#This Row],[explanation1]]="O",1,IF(DataTable[[#This Row],[explanation2]]="O",1,0))</f>
        <v>0</v>
      </c>
      <c r="AD401" s="18">
        <f>IF(DataTable[[#This Row],[explanation1]]="TP",1,IF(DataTable[[#This Row],[explanation2]]="TP",1,0))</f>
        <v>0</v>
      </c>
      <c r="AE401" s="18">
        <f>IF(DataTable[[#This Row],[explanation1]]="WP",1,IF(DataTable[[#This Row],[explanation2]]="WP",1,0))</f>
        <v>0</v>
      </c>
      <c r="AF401" s="18">
        <f>IF(DataTable[[#This Row],[explanation1]]="BR",1,IF(DataTable[[#This Row],[explanation2]]="BR",1,0))</f>
        <v>0</v>
      </c>
      <c r="AG401" s="18">
        <f>IF(DataTable[[#This Row],[explanation1]]="LS",1,IF(DataTable[[#This Row],[explanation2]]="LS",1,0))</f>
        <v>0</v>
      </c>
      <c r="AH401" s="45" t="s">
        <v>423</v>
      </c>
    </row>
    <row r="402" spans="1:34" x14ac:dyDescent="0.2">
      <c r="A402" s="22">
        <v>400</v>
      </c>
      <c r="B402" s="167" t="s">
        <v>64</v>
      </c>
      <c r="C402" s="167" t="s">
        <v>74</v>
      </c>
      <c r="D402" s="167">
        <v>1</v>
      </c>
      <c r="E402" s="23" t="s">
        <v>46</v>
      </c>
      <c r="F402" s="25">
        <v>23</v>
      </c>
      <c r="G402" s="23" t="s">
        <v>47</v>
      </c>
      <c r="H402" s="24" t="s">
        <v>48</v>
      </c>
      <c r="I402" s="25" t="str">
        <f t="shared" si="6"/>
        <v>R</v>
      </c>
      <c r="J402" s="167" t="s">
        <v>49</v>
      </c>
      <c r="K402" s="25" t="s">
        <v>50</v>
      </c>
      <c r="L402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02" s="24">
        <f>IF(DataTable[[#This Row],[3x head (H)/tail (T)?]]=DataTable[[#This Row],[then 4th: H/T/B/0]],1,0)</f>
        <v>0</v>
      </c>
      <c r="N402" s="24">
        <f>IF(DataTable[[#This Row],[then 4th: H/T/B/0]]="B",1,0)</f>
        <v>1</v>
      </c>
      <c r="O402" s="23" t="s">
        <v>436</v>
      </c>
      <c r="P402" s="167">
        <v>21</v>
      </c>
      <c r="Q402" s="168" t="s">
        <v>411</v>
      </c>
      <c r="R402" s="25" t="s">
        <v>58</v>
      </c>
      <c r="S402" s="27" t="s">
        <v>75</v>
      </c>
      <c r="T402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02" s="28" t="s">
        <v>76</v>
      </c>
      <c r="V402" s="29" t="s">
        <v>7</v>
      </c>
      <c r="W402" s="29"/>
      <c r="X402" s="27"/>
      <c r="Y402" s="27">
        <f>IF(DataTable[[#This Row],[explanation1]]="BL",1,IF(DataTable[[#This Row],[explanation2]]="BL",1,IF(DataTable[[#This Row],[explanation1]]="BR",1,IF(DataTable[[#This Row],[explanation2]]="BR",1,0))))</f>
        <v>0</v>
      </c>
      <c r="Z402" s="18">
        <f>IF(DataTable[[#This Row],[explanation1]]="BL",1,IF(DataTable[[#This Row],[explanation2]]="BL",1,0))</f>
        <v>0</v>
      </c>
      <c r="AA402" s="18">
        <f>IF(DataTable[[#This Row],[explanation1]]="WJ",1,IF(DataTable[[#This Row],[explanation2]]="WJ",1,0))</f>
        <v>1</v>
      </c>
      <c r="AB402" s="18">
        <f>IF(DataTable[[#This Row],[explanation1]]="U",1,IF(DataTable[[#This Row],[explanation2]]="U",1,0))</f>
        <v>0</v>
      </c>
      <c r="AC402" s="18">
        <f>IF(DataTable[[#This Row],[explanation1]]="O",1,IF(DataTable[[#This Row],[explanation2]]="O",1,0))</f>
        <v>0</v>
      </c>
      <c r="AD402" s="18">
        <f>IF(DataTable[[#This Row],[explanation1]]="TP",1,IF(DataTable[[#This Row],[explanation2]]="TP",1,0))</f>
        <v>0</v>
      </c>
      <c r="AE402" s="18">
        <f>IF(DataTable[[#This Row],[explanation1]]="WP",1,IF(DataTable[[#This Row],[explanation2]]="WP",1,0))</f>
        <v>0</v>
      </c>
      <c r="AF402" s="18">
        <f>IF(DataTable[[#This Row],[explanation1]]="BR",1,IF(DataTable[[#This Row],[explanation2]]="BR",1,0))</f>
        <v>0</v>
      </c>
      <c r="AG402" s="18">
        <f>IF(DataTable[[#This Row],[explanation1]]="LS",1,IF(DataTable[[#This Row],[explanation2]]="LS",1,0))</f>
        <v>0</v>
      </c>
      <c r="AH402" s="45" t="s">
        <v>7</v>
      </c>
    </row>
    <row r="403" spans="1:34" x14ac:dyDescent="0.2">
      <c r="A403" s="13">
        <v>401</v>
      </c>
      <c r="B403" s="167" t="s">
        <v>70</v>
      </c>
      <c r="C403" s="167" t="s">
        <v>45</v>
      </c>
      <c r="D403" s="167">
        <v>50</v>
      </c>
      <c r="E403" s="14" t="s">
        <v>58</v>
      </c>
      <c r="F403" s="16">
        <v>18</v>
      </c>
      <c r="G403" s="14" t="s">
        <v>70</v>
      </c>
      <c r="H403" s="15" t="s">
        <v>48</v>
      </c>
      <c r="I403" s="16" t="str">
        <f t="shared" si="6"/>
        <v>M5</v>
      </c>
      <c r="J403" s="167" t="s">
        <v>49</v>
      </c>
      <c r="K403" s="16" t="s">
        <v>50</v>
      </c>
      <c r="L403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03" s="15">
        <f>IF(DataTable[[#This Row],[3x head (H)/tail (T)?]]=DataTable[[#This Row],[then 4th: H/T/B/0]],1,0)</f>
        <v>0</v>
      </c>
      <c r="N403" s="15">
        <f>IF(DataTable[[#This Row],[then 4th: H/T/B/0]]="B",1,0)</f>
        <v>1</v>
      </c>
      <c r="O403" s="14" t="s">
        <v>436</v>
      </c>
      <c r="P403" s="167">
        <v>21</v>
      </c>
      <c r="Q403" s="169" t="s">
        <v>411</v>
      </c>
      <c r="R403" s="16" t="s">
        <v>58</v>
      </c>
      <c r="S403" s="18" t="s">
        <v>75</v>
      </c>
      <c r="T403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03" s="19" t="s">
        <v>76</v>
      </c>
      <c r="V403" s="20" t="s">
        <v>7</v>
      </c>
      <c r="W403" s="20"/>
      <c r="X403" s="18"/>
      <c r="Y403" s="18">
        <f>IF(DataTable[[#This Row],[explanation1]]="BL",1,IF(DataTable[[#This Row],[explanation2]]="BL",1,IF(DataTable[[#This Row],[explanation1]]="BR",1,IF(DataTable[[#This Row],[explanation2]]="BR",1,0))))</f>
        <v>0</v>
      </c>
      <c r="Z403" s="18">
        <f>IF(DataTable[[#This Row],[explanation1]]="BL",1,IF(DataTable[[#This Row],[explanation2]]="BL",1,0))</f>
        <v>0</v>
      </c>
      <c r="AA403" s="18">
        <f>IF(DataTable[[#This Row],[explanation1]]="WJ",1,IF(DataTable[[#This Row],[explanation2]]="WJ",1,0))</f>
        <v>1</v>
      </c>
      <c r="AB403" s="18">
        <f>IF(DataTable[[#This Row],[explanation1]]="U",1,IF(DataTable[[#This Row],[explanation2]]="U",1,0))</f>
        <v>0</v>
      </c>
      <c r="AC403" s="18">
        <f>IF(DataTable[[#This Row],[explanation1]]="O",1,IF(DataTable[[#This Row],[explanation2]]="O",1,0))</f>
        <v>0</v>
      </c>
      <c r="AD403" s="18">
        <f>IF(DataTable[[#This Row],[explanation1]]="TP",1,IF(DataTable[[#This Row],[explanation2]]="TP",1,0))</f>
        <v>0</v>
      </c>
      <c r="AE403" s="18">
        <f>IF(DataTable[[#This Row],[explanation1]]="WP",1,IF(DataTable[[#This Row],[explanation2]]="WP",1,0))</f>
        <v>0</v>
      </c>
      <c r="AF403" s="18">
        <f>IF(DataTable[[#This Row],[explanation1]]="BR",1,IF(DataTable[[#This Row],[explanation2]]="BR",1,0))</f>
        <v>0</v>
      </c>
      <c r="AG403" s="18">
        <f>IF(DataTable[[#This Row],[explanation1]]="LS",1,IF(DataTable[[#This Row],[explanation2]]="LS",1,0))</f>
        <v>0</v>
      </c>
      <c r="AH403" s="45" t="s">
        <v>7</v>
      </c>
    </row>
    <row r="404" spans="1:34" x14ac:dyDescent="0.2">
      <c r="A404" s="22">
        <v>402</v>
      </c>
      <c r="B404" s="167" t="s">
        <v>44</v>
      </c>
      <c r="C404" s="167" t="s">
        <v>45</v>
      </c>
      <c r="D404" s="167">
        <v>50</v>
      </c>
      <c r="E404" s="23" t="s">
        <v>46</v>
      </c>
      <c r="F404" s="25">
        <v>20</v>
      </c>
      <c r="G404" s="23" t="s">
        <v>47</v>
      </c>
      <c r="H404" s="24" t="s">
        <v>48</v>
      </c>
      <c r="I404" s="25" t="str">
        <f t="shared" si="6"/>
        <v>R</v>
      </c>
      <c r="J404" s="167" t="s">
        <v>78</v>
      </c>
      <c r="K404" s="25" t="s">
        <v>50</v>
      </c>
      <c r="L404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04" s="24">
        <f>IF(DataTable[[#This Row],[3x head (H)/tail (T)?]]=DataTable[[#This Row],[then 4th: H/T/B/0]],1,0)</f>
        <v>0</v>
      </c>
      <c r="N404" s="24">
        <f>IF(DataTable[[#This Row],[then 4th: H/T/B/0]]="B",1,0)</f>
        <v>1</v>
      </c>
      <c r="O404" s="23" t="s">
        <v>436</v>
      </c>
      <c r="P404" s="167">
        <v>14</v>
      </c>
      <c r="Q404" s="168" t="s">
        <v>118</v>
      </c>
      <c r="R404" s="25" t="s">
        <v>58</v>
      </c>
      <c r="S404" s="27" t="s">
        <v>75</v>
      </c>
      <c r="T404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04" s="28" t="s">
        <v>76</v>
      </c>
      <c r="V404" s="29" t="s">
        <v>11</v>
      </c>
      <c r="W404" s="29" t="s">
        <v>6</v>
      </c>
      <c r="X404" s="27"/>
      <c r="Y404" s="27">
        <f>IF(DataTable[[#This Row],[explanation1]]="BL",1,IF(DataTable[[#This Row],[explanation2]]="BL",1,IF(DataTable[[#This Row],[explanation1]]="BR",1,IF(DataTable[[#This Row],[explanation2]]="BR",1,0))))</f>
        <v>1</v>
      </c>
      <c r="Z404" s="18">
        <f>IF(DataTable[[#This Row],[explanation1]]="BL",1,IF(DataTable[[#This Row],[explanation2]]="BL",1,0))</f>
        <v>1</v>
      </c>
      <c r="AA404" s="18">
        <f>IF(DataTable[[#This Row],[explanation1]]="WJ",1,IF(DataTable[[#This Row],[explanation2]]="WJ",1,0))</f>
        <v>0</v>
      </c>
      <c r="AB404" s="18">
        <f>IF(DataTable[[#This Row],[explanation1]]="U",1,IF(DataTable[[#This Row],[explanation2]]="U",1,0))</f>
        <v>0</v>
      </c>
      <c r="AC404" s="18">
        <f>IF(DataTable[[#This Row],[explanation1]]="O",1,IF(DataTable[[#This Row],[explanation2]]="O",1,0))</f>
        <v>0</v>
      </c>
      <c r="AD404" s="18">
        <f>IF(DataTable[[#This Row],[explanation1]]="TP",1,IF(DataTable[[#This Row],[explanation2]]="TP",1,0))</f>
        <v>0</v>
      </c>
      <c r="AE404" s="18">
        <f>IF(DataTable[[#This Row],[explanation1]]="WP",1,IF(DataTable[[#This Row],[explanation2]]="WP",1,0))</f>
        <v>1</v>
      </c>
      <c r="AF404" s="18">
        <f>IF(DataTable[[#This Row],[explanation1]]="BR",1,IF(DataTable[[#This Row],[explanation2]]="BR",1,0))</f>
        <v>0</v>
      </c>
      <c r="AG404" s="18">
        <f>IF(DataTable[[#This Row],[explanation1]]="LS",1,IF(DataTable[[#This Row],[explanation2]]="LS",1,0))</f>
        <v>0</v>
      </c>
      <c r="AH404" s="45" t="s">
        <v>412</v>
      </c>
    </row>
    <row r="405" spans="1:34" x14ac:dyDescent="0.2">
      <c r="A405" s="13">
        <v>403</v>
      </c>
      <c r="B405" s="167" t="s">
        <v>44</v>
      </c>
      <c r="C405" s="167" t="s">
        <v>45</v>
      </c>
      <c r="D405" s="167">
        <v>50</v>
      </c>
      <c r="E405" s="14" t="s">
        <v>46</v>
      </c>
      <c r="F405" s="16">
        <v>20</v>
      </c>
      <c r="G405" s="14" t="s">
        <v>47</v>
      </c>
      <c r="H405" s="15" t="s">
        <v>48</v>
      </c>
      <c r="I405" s="16" t="str">
        <f t="shared" si="6"/>
        <v>R</v>
      </c>
      <c r="J405" s="167" t="s">
        <v>78</v>
      </c>
      <c r="K405" s="16" t="s">
        <v>50</v>
      </c>
      <c r="L405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05" s="15">
        <f>IF(DataTable[[#This Row],[3x head (H)/tail (T)?]]=DataTable[[#This Row],[then 4th: H/T/B/0]],1,0)</f>
        <v>0</v>
      </c>
      <c r="N405" s="15">
        <f>IF(DataTable[[#This Row],[then 4th: H/T/B/0]]="B",1,0)</f>
        <v>1</v>
      </c>
      <c r="O405" s="14" t="s">
        <v>436</v>
      </c>
      <c r="P405" s="167">
        <v>14</v>
      </c>
      <c r="Q405" s="169" t="s">
        <v>118</v>
      </c>
      <c r="R405" s="16" t="s">
        <v>58</v>
      </c>
      <c r="S405" s="18" t="s">
        <v>75</v>
      </c>
      <c r="T405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05" s="19" t="s">
        <v>76</v>
      </c>
      <c r="V405" s="20" t="s">
        <v>6</v>
      </c>
      <c r="W405" s="20" t="s">
        <v>11</v>
      </c>
      <c r="X405" s="18"/>
      <c r="Y405" s="18">
        <f>IF(DataTable[[#This Row],[explanation1]]="BL",1,IF(DataTable[[#This Row],[explanation2]]="BL",1,IF(DataTable[[#This Row],[explanation1]]="BR",1,IF(DataTable[[#This Row],[explanation2]]="BR",1,0))))</f>
        <v>1</v>
      </c>
      <c r="Z405" s="18">
        <f>IF(DataTable[[#This Row],[explanation1]]="BL",1,IF(DataTable[[#This Row],[explanation2]]="BL",1,0))</f>
        <v>1</v>
      </c>
      <c r="AA405" s="18">
        <f>IF(DataTable[[#This Row],[explanation1]]="WJ",1,IF(DataTable[[#This Row],[explanation2]]="WJ",1,0))</f>
        <v>0</v>
      </c>
      <c r="AB405" s="18">
        <f>IF(DataTable[[#This Row],[explanation1]]="U",1,IF(DataTable[[#This Row],[explanation2]]="U",1,0))</f>
        <v>0</v>
      </c>
      <c r="AC405" s="18">
        <f>IF(DataTable[[#This Row],[explanation1]]="O",1,IF(DataTable[[#This Row],[explanation2]]="O",1,0))</f>
        <v>0</v>
      </c>
      <c r="AD405" s="18">
        <f>IF(DataTable[[#This Row],[explanation1]]="TP",1,IF(DataTable[[#This Row],[explanation2]]="TP",1,0))</f>
        <v>0</v>
      </c>
      <c r="AE405" s="18">
        <f>IF(DataTable[[#This Row],[explanation1]]="WP",1,IF(DataTable[[#This Row],[explanation2]]="WP",1,0))</f>
        <v>1</v>
      </c>
      <c r="AF405" s="18">
        <f>IF(DataTable[[#This Row],[explanation1]]="BR",1,IF(DataTable[[#This Row],[explanation2]]="BR",1,0))</f>
        <v>0</v>
      </c>
      <c r="AG405" s="18">
        <f>IF(DataTable[[#This Row],[explanation1]]="LS",1,IF(DataTable[[#This Row],[explanation2]]="LS",1,0))</f>
        <v>0</v>
      </c>
      <c r="AH405" s="45" t="s">
        <v>414</v>
      </c>
    </row>
    <row r="406" spans="1:34" x14ac:dyDescent="0.2">
      <c r="A406" s="22">
        <v>404</v>
      </c>
      <c r="B406" s="167" t="s">
        <v>44</v>
      </c>
      <c r="C406" s="167" t="s">
        <v>45</v>
      </c>
      <c r="D406" s="167">
        <v>1</v>
      </c>
      <c r="E406" s="23" t="s">
        <v>46</v>
      </c>
      <c r="F406" s="25">
        <v>23</v>
      </c>
      <c r="G406" s="23" t="s">
        <v>47</v>
      </c>
      <c r="H406" s="24" t="s">
        <v>81</v>
      </c>
      <c r="I406" s="25" t="str">
        <f t="shared" si="6"/>
        <v>L1</v>
      </c>
      <c r="J406" s="167" t="s">
        <v>49</v>
      </c>
      <c r="K406" s="25" t="s">
        <v>50</v>
      </c>
      <c r="L406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06" s="24">
        <f>IF(DataTable[[#This Row],[3x head (H)/tail (T)?]]=DataTable[[#This Row],[then 4th: H/T/B/0]],1,0)</f>
        <v>0</v>
      </c>
      <c r="N406" s="24">
        <f>IF(DataTable[[#This Row],[then 4th: H/T/B/0]]="B",1,0)</f>
        <v>1</v>
      </c>
      <c r="O406" s="23" t="s">
        <v>436</v>
      </c>
      <c r="P406" s="167">
        <v>14</v>
      </c>
      <c r="Q406" s="168" t="s">
        <v>118</v>
      </c>
      <c r="R406" s="25" t="s">
        <v>58</v>
      </c>
      <c r="S406" s="27" t="s">
        <v>75</v>
      </c>
      <c r="T406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06" s="28" t="s">
        <v>76</v>
      </c>
      <c r="V406" s="29" t="s">
        <v>7</v>
      </c>
      <c r="W406" s="29"/>
      <c r="X406" s="27"/>
      <c r="Y406" s="27">
        <f>IF(DataTable[[#This Row],[explanation1]]="BL",1,IF(DataTable[[#This Row],[explanation2]]="BL",1,IF(DataTable[[#This Row],[explanation1]]="BR",1,IF(DataTable[[#This Row],[explanation2]]="BR",1,0))))</f>
        <v>0</v>
      </c>
      <c r="Z406" s="18">
        <f>IF(DataTable[[#This Row],[explanation1]]="BL",1,IF(DataTable[[#This Row],[explanation2]]="BL",1,0))</f>
        <v>0</v>
      </c>
      <c r="AA406" s="18">
        <f>IF(DataTable[[#This Row],[explanation1]]="WJ",1,IF(DataTable[[#This Row],[explanation2]]="WJ",1,0))</f>
        <v>1</v>
      </c>
      <c r="AB406" s="18">
        <f>IF(DataTable[[#This Row],[explanation1]]="U",1,IF(DataTable[[#This Row],[explanation2]]="U",1,0))</f>
        <v>0</v>
      </c>
      <c r="AC406" s="18">
        <f>IF(DataTable[[#This Row],[explanation1]]="O",1,IF(DataTable[[#This Row],[explanation2]]="O",1,0))</f>
        <v>0</v>
      </c>
      <c r="AD406" s="18">
        <f>IF(DataTable[[#This Row],[explanation1]]="TP",1,IF(DataTable[[#This Row],[explanation2]]="TP",1,0))</f>
        <v>0</v>
      </c>
      <c r="AE406" s="18">
        <f>IF(DataTable[[#This Row],[explanation1]]="WP",1,IF(DataTable[[#This Row],[explanation2]]="WP",1,0))</f>
        <v>0</v>
      </c>
      <c r="AF406" s="18">
        <f>IF(DataTable[[#This Row],[explanation1]]="BR",1,IF(DataTable[[#This Row],[explanation2]]="BR",1,0))</f>
        <v>0</v>
      </c>
      <c r="AG406" s="18">
        <f>IF(DataTable[[#This Row],[explanation1]]="LS",1,IF(DataTable[[#This Row],[explanation2]]="LS",1,0))</f>
        <v>0</v>
      </c>
      <c r="AH406" s="45" t="s">
        <v>7</v>
      </c>
    </row>
    <row r="407" spans="1:34" x14ac:dyDescent="0.2">
      <c r="A407" s="13">
        <v>405</v>
      </c>
      <c r="B407" s="167" t="s">
        <v>60</v>
      </c>
      <c r="C407" s="167" t="s">
        <v>74</v>
      </c>
      <c r="D407" s="167">
        <v>1</v>
      </c>
      <c r="E407" s="14" t="s">
        <v>46</v>
      </c>
      <c r="F407" s="16">
        <v>32</v>
      </c>
      <c r="G407" s="14" t="s">
        <v>60</v>
      </c>
      <c r="H407" s="15" t="s">
        <v>81</v>
      </c>
      <c r="I407" s="16" t="str">
        <f t="shared" si="6"/>
        <v>R</v>
      </c>
      <c r="J407" s="167" t="s">
        <v>78</v>
      </c>
      <c r="K407" s="16" t="s">
        <v>49</v>
      </c>
      <c r="L407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407" s="15">
        <f>IF(DataTable[[#This Row],[3x head (H)/tail (T)?]]=DataTable[[#This Row],[then 4th: H/T/B/0]],1,0)</f>
        <v>0</v>
      </c>
      <c r="N407" s="15">
        <f>IF(DataTable[[#This Row],[then 4th: H/T/B/0]]="B",1,0)</f>
        <v>0</v>
      </c>
      <c r="O407" s="14" t="s">
        <v>436</v>
      </c>
      <c r="P407" s="167">
        <v>14</v>
      </c>
      <c r="Q407" s="169" t="s">
        <v>118</v>
      </c>
      <c r="R407" s="16" t="s">
        <v>58</v>
      </c>
      <c r="S407" s="18" t="s">
        <v>54</v>
      </c>
      <c r="T407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407" s="19" t="s">
        <v>116</v>
      </c>
      <c r="V407" s="20" t="s">
        <v>7</v>
      </c>
      <c r="W407" s="20"/>
      <c r="X407" s="18"/>
      <c r="Y407" s="18">
        <f>IF(DataTable[[#This Row],[explanation1]]="BL",1,IF(DataTable[[#This Row],[explanation2]]="BL",1,IF(DataTable[[#This Row],[explanation1]]="BR",1,IF(DataTable[[#This Row],[explanation2]]="BR",1,0))))</f>
        <v>0</v>
      </c>
      <c r="Z407" s="18">
        <f>IF(DataTable[[#This Row],[explanation1]]="BL",1,IF(DataTable[[#This Row],[explanation2]]="BL",1,0))</f>
        <v>0</v>
      </c>
      <c r="AA407" s="18">
        <f>IF(DataTable[[#This Row],[explanation1]]="WJ",1,IF(DataTable[[#This Row],[explanation2]]="WJ",1,0))</f>
        <v>1</v>
      </c>
      <c r="AB407" s="18">
        <f>IF(DataTable[[#This Row],[explanation1]]="U",1,IF(DataTable[[#This Row],[explanation2]]="U",1,0))</f>
        <v>0</v>
      </c>
      <c r="AC407" s="18">
        <f>IF(DataTable[[#This Row],[explanation1]]="O",1,IF(DataTable[[#This Row],[explanation2]]="O",1,0))</f>
        <v>0</v>
      </c>
      <c r="AD407" s="18">
        <f>IF(DataTable[[#This Row],[explanation1]]="TP",1,IF(DataTable[[#This Row],[explanation2]]="TP",1,0))</f>
        <v>0</v>
      </c>
      <c r="AE407" s="18">
        <f>IF(DataTable[[#This Row],[explanation1]]="WP",1,IF(DataTable[[#This Row],[explanation2]]="WP",1,0))</f>
        <v>0</v>
      </c>
      <c r="AF407" s="18">
        <f>IF(DataTable[[#This Row],[explanation1]]="BR",1,IF(DataTable[[#This Row],[explanation2]]="BR",1,0))</f>
        <v>0</v>
      </c>
      <c r="AG407" s="18">
        <f>IF(DataTable[[#This Row],[explanation1]]="LS",1,IF(DataTable[[#This Row],[explanation2]]="LS",1,0))</f>
        <v>0</v>
      </c>
      <c r="AH407" s="45" t="s">
        <v>7</v>
      </c>
    </row>
    <row r="408" spans="1:34" x14ac:dyDescent="0.2">
      <c r="A408" s="22">
        <v>406</v>
      </c>
      <c r="B408" s="167" t="s">
        <v>60</v>
      </c>
      <c r="C408" s="167" t="s">
        <v>45</v>
      </c>
      <c r="D408" s="167">
        <v>1</v>
      </c>
      <c r="E408" s="23" t="s">
        <v>46</v>
      </c>
      <c r="F408" s="25">
        <v>37</v>
      </c>
      <c r="G408" s="23" t="s">
        <v>60</v>
      </c>
      <c r="H408" s="24" t="s">
        <v>48</v>
      </c>
      <c r="I408" s="25" t="str">
        <f t="shared" si="6"/>
        <v>L5</v>
      </c>
      <c r="J408" s="167" t="s">
        <v>78</v>
      </c>
      <c r="K408" s="25" t="s">
        <v>49</v>
      </c>
      <c r="L408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408" s="24">
        <f>IF(DataTable[[#This Row],[3x head (H)/tail (T)?]]=DataTable[[#This Row],[then 4th: H/T/B/0]],1,0)</f>
        <v>0</v>
      </c>
      <c r="N408" s="24">
        <f>IF(DataTable[[#This Row],[then 4th: H/T/B/0]]="B",1,0)</f>
        <v>0</v>
      </c>
      <c r="O408" s="23" t="s">
        <v>436</v>
      </c>
      <c r="P408" s="167">
        <v>14</v>
      </c>
      <c r="Q408" s="168" t="s">
        <v>118</v>
      </c>
      <c r="R408" s="25" t="s">
        <v>58</v>
      </c>
      <c r="S408" s="27" t="s">
        <v>75</v>
      </c>
      <c r="T408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08" s="28" t="s">
        <v>76</v>
      </c>
      <c r="V408" s="29" t="s">
        <v>8</v>
      </c>
      <c r="W408" s="29"/>
      <c r="X408" s="27"/>
      <c r="Y408" s="27">
        <f>IF(DataTable[[#This Row],[explanation1]]="BL",1,IF(DataTable[[#This Row],[explanation2]]="BL",1,IF(DataTable[[#This Row],[explanation1]]="BR",1,IF(DataTable[[#This Row],[explanation2]]="BR",1,0))))</f>
        <v>0</v>
      </c>
      <c r="Z408" s="18">
        <f>IF(DataTable[[#This Row],[explanation1]]="BL",1,IF(DataTable[[#This Row],[explanation2]]="BL",1,0))</f>
        <v>0</v>
      </c>
      <c r="AA408" s="18">
        <f>IF(DataTable[[#This Row],[explanation1]]="WJ",1,IF(DataTable[[#This Row],[explanation2]]="WJ",1,0))</f>
        <v>0</v>
      </c>
      <c r="AB408" s="18">
        <f>IF(DataTable[[#This Row],[explanation1]]="U",1,IF(DataTable[[#This Row],[explanation2]]="U",1,0))</f>
        <v>1</v>
      </c>
      <c r="AC408" s="18">
        <f>IF(DataTable[[#This Row],[explanation1]]="O",1,IF(DataTable[[#This Row],[explanation2]]="O",1,0))</f>
        <v>0</v>
      </c>
      <c r="AD408" s="18">
        <f>IF(DataTable[[#This Row],[explanation1]]="TP",1,IF(DataTable[[#This Row],[explanation2]]="TP",1,0))</f>
        <v>0</v>
      </c>
      <c r="AE408" s="18">
        <f>IF(DataTable[[#This Row],[explanation1]]="WP",1,IF(DataTable[[#This Row],[explanation2]]="WP",1,0))</f>
        <v>0</v>
      </c>
      <c r="AF408" s="18">
        <f>IF(DataTable[[#This Row],[explanation1]]="BR",1,IF(DataTable[[#This Row],[explanation2]]="BR",1,0))</f>
        <v>0</v>
      </c>
      <c r="AG408" s="18">
        <f>IF(DataTable[[#This Row],[explanation1]]="LS",1,IF(DataTable[[#This Row],[explanation2]]="LS",1,0))</f>
        <v>0</v>
      </c>
      <c r="AH408" s="45" t="s">
        <v>431</v>
      </c>
    </row>
    <row r="409" spans="1:34" x14ac:dyDescent="0.2">
      <c r="A409" s="13">
        <v>407</v>
      </c>
      <c r="B409" s="167" t="s">
        <v>60</v>
      </c>
      <c r="C409" s="167" t="s">
        <v>45</v>
      </c>
      <c r="D409" s="167">
        <v>1</v>
      </c>
      <c r="E409" s="14" t="s">
        <v>58</v>
      </c>
      <c r="F409" s="16">
        <v>21</v>
      </c>
      <c r="G409" s="14" t="s">
        <v>47</v>
      </c>
      <c r="H409" s="15" t="s">
        <v>48</v>
      </c>
      <c r="I409" s="16" t="str">
        <f t="shared" si="6"/>
        <v>R</v>
      </c>
      <c r="J409" s="167" t="s">
        <v>49</v>
      </c>
      <c r="K409" s="16" t="s">
        <v>50</v>
      </c>
      <c r="L409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09" s="15">
        <f>IF(DataTable[[#This Row],[3x head (H)/tail (T)?]]=DataTable[[#This Row],[then 4th: H/T/B/0]],1,0)</f>
        <v>0</v>
      </c>
      <c r="N409" s="15">
        <f>IF(DataTable[[#This Row],[then 4th: H/T/B/0]]="B",1,0)</f>
        <v>1</v>
      </c>
      <c r="O409" s="14" t="s">
        <v>436</v>
      </c>
      <c r="P409" s="167">
        <v>14</v>
      </c>
      <c r="Q409" s="169" t="s">
        <v>118</v>
      </c>
      <c r="R409" s="16" t="s">
        <v>58</v>
      </c>
      <c r="S409" s="18" t="s">
        <v>75</v>
      </c>
      <c r="T409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09" s="19" t="s">
        <v>76</v>
      </c>
      <c r="V409" s="20" t="s">
        <v>7</v>
      </c>
      <c r="W409" s="20"/>
      <c r="X409" s="18"/>
      <c r="Y409" s="18">
        <f>IF(DataTable[[#This Row],[explanation1]]="BL",1,IF(DataTable[[#This Row],[explanation2]]="BL",1,IF(DataTable[[#This Row],[explanation1]]="BR",1,IF(DataTable[[#This Row],[explanation2]]="BR",1,0))))</f>
        <v>0</v>
      </c>
      <c r="Z409" s="18">
        <f>IF(DataTable[[#This Row],[explanation1]]="BL",1,IF(DataTable[[#This Row],[explanation2]]="BL",1,0))</f>
        <v>0</v>
      </c>
      <c r="AA409" s="18">
        <f>IF(DataTable[[#This Row],[explanation1]]="WJ",1,IF(DataTable[[#This Row],[explanation2]]="WJ",1,0))</f>
        <v>1</v>
      </c>
      <c r="AB409" s="18">
        <f>IF(DataTable[[#This Row],[explanation1]]="U",1,IF(DataTable[[#This Row],[explanation2]]="U",1,0))</f>
        <v>0</v>
      </c>
      <c r="AC409" s="18">
        <f>IF(DataTable[[#This Row],[explanation1]]="O",1,IF(DataTable[[#This Row],[explanation2]]="O",1,0))</f>
        <v>0</v>
      </c>
      <c r="AD409" s="18">
        <f>IF(DataTable[[#This Row],[explanation1]]="TP",1,IF(DataTable[[#This Row],[explanation2]]="TP",1,0))</f>
        <v>0</v>
      </c>
      <c r="AE409" s="18">
        <f>IF(DataTable[[#This Row],[explanation1]]="WP",1,IF(DataTable[[#This Row],[explanation2]]="WP",1,0))</f>
        <v>0</v>
      </c>
      <c r="AF409" s="18">
        <f>IF(DataTable[[#This Row],[explanation1]]="BR",1,IF(DataTable[[#This Row],[explanation2]]="BR",1,0))</f>
        <v>0</v>
      </c>
      <c r="AG409" s="18">
        <f>IF(DataTable[[#This Row],[explanation1]]="LS",1,IF(DataTable[[#This Row],[explanation2]]="LS",1,0))</f>
        <v>0</v>
      </c>
      <c r="AH409" s="45" t="s">
        <v>7</v>
      </c>
    </row>
    <row r="410" spans="1:34" x14ac:dyDescent="0.2">
      <c r="A410" s="22">
        <v>408</v>
      </c>
      <c r="B410" s="167" t="s">
        <v>60</v>
      </c>
      <c r="C410" s="167" t="s">
        <v>45</v>
      </c>
      <c r="D410" s="167">
        <v>50</v>
      </c>
      <c r="E410" s="23" t="s">
        <v>58</v>
      </c>
      <c r="F410" s="25">
        <v>23</v>
      </c>
      <c r="G410" s="23" t="s">
        <v>47</v>
      </c>
      <c r="H410" s="24" t="s">
        <v>48</v>
      </c>
      <c r="I410" s="25" t="str">
        <f t="shared" si="6"/>
        <v>R</v>
      </c>
      <c r="J410" s="167" t="s">
        <v>49</v>
      </c>
      <c r="K410" s="25" t="s">
        <v>78</v>
      </c>
      <c r="L410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410" s="24">
        <f>IF(DataTable[[#This Row],[3x head (H)/tail (T)?]]=DataTable[[#This Row],[then 4th: H/T/B/0]],1,0)</f>
        <v>0</v>
      </c>
      <c r="N410" s="24">
        <f>IF(DataTable[[#This Row],[then 4th: H/T/B/0]]="B",1,0)</f>
        <v>0</v>
      </c>
      <c r="O410" s="23" t="s">
        <v>436</v>
      </c>
      <c r="P410" s="167">
        <v>14</v>
      </c>
      <c r="Q410" s="168" t="s">
        <v>118</v>
      </c>
      <c r="R410" s="25" t="s">
        <v>58</v>
      </c>
      <c r="S410" s="27" t="s">
        <v>75</v>
      </c>
      <c r="T410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10" s="28" t="s">
        <v>76</v>
      </c>
      <c r="V410" s="29" t="s">
        <v>6</v>
      </c>
      <c r="W410" s="29"/>
      <c r="X410" s="27"/>
      <c r="Y410" s="27">
        <f>IF(DataTable[[#This Row],[explanation1]]="BL",1,IF(DataTable[[#This Row],[explanation2]]="BL",1,IF(DataTable[[#This Row],[explanation1]]="BR",1,IF(DataTable[[#This Row],[explanation2]]="BR",1,0))))</f>
        <v>1</v>
      </c>
      <c r="Z410" s="18">
        <f>IF(DataTable[[#This Row],[explanation1]]="BL",1,IF(DataTable[[#This Row],[explanation2]]="BL",1,0))</f>
        <v>1</v>
      </c>
      <c r="AA410" s="18">
        <f>IF(DataTable[[#This Row],[explanation1]]="WJ",1,IF(DataTable[[#This Row],[explanation2]]="WJ",1,0))</f>
        <v>0</v>
      </c>
      <c r="AB410" s="18">
        <f>IF(DataTable[[#This Row],[explanation1]]="U",1,IF(DataTable[[#This Row],[explanation2]]="U",1,0))</f>
        <v>0</v>
      </c>
      <c r="AC410" s="18">
        <f>IF(DataTable[[#This Row],[explanation1]]="O",1,IF(DataTable[[#This Row],[explanation2]]="O",1,0))</f>
        <v>0</v>
      </c>
      <c r="AD410" s="18">
        <f>IF(DataTable[[#This Row],[explanation1]]="TP",1,IF(DataTable[[#This Row],[explanation2]]="TP",1,0))</f>
        <v>0</v>
      </c>
      <c r="AE410" s="18">
        <f>IF(DataTable[[#This Row],[explanation1]]="WP",1,IF(DataTable[[#This Row],[explanation2]]="WP",1,0))</f>
        <v>0</v>
      </c>
      <c r="AF410" s="18">
        <f>IF(DataTable[[#This Row],[explanation1]]="BR",1,IF(DataTable[[#This Row],[explanation2]]="BR",1,0))</f>
        <v>0</v>
      </c>
      <c r="AG410" s="18">
        <f>IF(DataTable[[#This Row],[explanation1]]="LS",1,IF(DataTable[[#This Row],[explanation2]]="LS",1,0))</f>
        <v>0</v>
      </c>
      <c r="AH410" s="45" t="s">
        <v>6</v>
      </c>
    </row>
    <row r="411" spans="1:34" x14ac:dyDescent="0.2">
      <c r="A411" s="13">
        <v>409</v>
      </c>
      <c r="B411" s="167" t="s">
        <v>60</v>
      </c>
      <c r="C411" s="167" t="s">
        <v>45</v>
      </c>
      <c r="D411" s="167">
        <v>50</v>
      </c>
      <c r="E411" s="14" t="s">
        <v>46</v>
      </c>
      <c r="F411" s="16">
        <v>68</v>
      </c>
      <c r="G411" s="14" t="s">
        <v>60</v>
      </c>
      <c r="H411" s="15" t="s">
        <v>48</v>
      </c>
      <c r="I411" s="16" t="str">
        <f t="shared" si="6"/>
        <v>L5</v>
      </c>
      <c r="J411" s="167" t="s">
        <v>78</v>
      </c>
      <c r="K411" s="16" t="s">
        <v>49</v>
      </c>
      <c r="L411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411" s="15">
        <f>IF(DataTable[[#This Row],[3x head (H)/tail (T)?]]=DataTable[[#This Row],[then 4th: H/T/B/0]],1,0)</f>
        <v>0</v>
      </c>
      <c r="N411" s="15">
        <f>IF(DataTable[[#This Row],[then 4th: H/T/B/0]]="B",1,0)</f>
        <v>0</v>
      </c>
      <c r="O411" s="14" t="s">
        <v>436</v>
      </c>
      <c r="P411" s="167">
        <v>14</v>
      </c>
      <c r="Q411" s="169" t="s">
        <v>118</v>
      </c>
      <c r="R411" s="16" t="s">
        <v>58</v>
      </c>
      <c r="S411" s="18" t="s">
        <v>61</v>
      </c>
      <c r="T411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4</v>
      </c>
      <c r="U411" s="19" t="s">
        <v>173</v>
      </c>
      <c r="V411" s="20" t="s">
        <v>12</v>
      </c>
      <c r="W411" s="20"/>
      <c r="X411" s="18"/>
      <c r="Y411" s="18">
        <f>IF(DataTable[[#This Row],[explanation1]]="BL",1,IF(DataTable[[#This Row],[explanation2]]="BL",1,IF(DataTable[[#This Row],[explanation1]]="BR",1,IF(DataTable[[#This Row],[explanation2]]="BR",1,0))))</f>
        <v>1</v>
      </c>
      <c r="Z411" s="18">
        <f>IF(DataTable[[#This Row],[explanation1]]="BL",1,IF(DataTable[[#This Row],[explanation2]]="BL",1,0))</f>
        <v>0</v>
      </c>
      <c r="AA411" s="18">
        <f>IF(DataTable[[#This Row],[explanation1]]="WJ",1,IF(DataTable[[#This Row],[explanation2]]="WJ",1,0))</f>
        <v>0</v>
      </c>
      <c r="AB411" s="18">
        <f>IF(DataTable[[#This Row],[explanation1]]="U",1,IF(DataTable[[#This Row],[explanation2]]="U",1,0))</f>
        <v>0</v>
      </c>
      <c r="AC411" s="18">
        <f>IF(DataTable[[#This Row],[explanation1]]="O",1,IF(DataTable[[#This Row],[explanation2]]="O",1,0))</f>
        <v>0</v>
      </c>
      <c r="AD411" s="18">
        <f>IF(DataTable[[#This Row],[explanation1]]="TP",1,IF(DataTable[[#This Row],[explanation2]]="TP",1,0))</f>
        <v>0</v>
      </c>
      <c r="AE411" s="18">
        <f>IF(DataTable[[#This Row],[explanation1]]="WP",1,IF(DataTable[[#This Row],[explanation2]]="WP",1,0))</f>
        <v>0</v>
      </c>
      <c r="AF411" s="18">
        <f>IF(DataTable[[#This Row],[explanation1]]="BR",1,IF(DataTable[[#This Row],[explanation2]]="BR",1,0))</f>
        <v>1</v>
      </c>
      <c r="AG411" s="18">
        <f>IF(DataTable[[#This Row],[explanation1]]="LS",1,IF(DataTable[[#This Row],[explanation2]]="LS",1,0))</f>
        <v>0</v>
      </c>
      <c r="AH411" s="45" t="s">
        <v>12</v>
      </c>
    </row>
    <row r="412" spans="1:34" x14ac:dyDescent="0.2">
      <c r="A412" s="22">
        <v>410</v>
      </c>
      <c r="B412" s="167" t="s">
        <v>60</v>
      </c>
      <c r="C412" s="167" t="s">
        <v>45</v>
      </c>
      <c r="D412" s="167">
        <v>50</v>
      </c>
      <c r="E412" s="23" t="s">
        <v>58</v>
      </c>
      <c r="F412" s="25">
        <v>22</v>
      </c>
      <c r="G412" s="23" t="s">
        <v>47</v>
      </c>
      <c r="H412" s="24" t="s">
        <v>48</v>
      </c>
      <c r="I412" s="25" t="str">
        <f t="shared" si="6"/>
        <v>R</v>
      </c>
      <c r="J412" s="167" t="s">
        <v>78</v>
      </c>
      <c r="K412" s="25" t="s">
        <v>50</v>
      </c>
      <c r="L412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12" s="24">
        <f>IF(DataTable[[#This Row],[3x head (H)/tail (T)?]]=DataTable[[#This Row],[then 4th: H/T/B/0]],1,0)</f>
        <v>0</v>
      </c>
      <c r="N412" s="24">
        <f>IF(DataTable[[#This Row],[then 4th: H/T/B/0]]="B",1,0)</f>
        <v>1</v>
      </c>
      <c r="O412" s="23" t="s">
        <v>436</v>
      </c>
      <c r="P412" s="167">
        <v>14</v>
      </c>
      <c r="Q412" s="168" t="s">
        <v>118</v>
      </c>
      <c r="R412" s="25" t="s">
        <v>58</v>
      </c>
      <c r="S412" s="27" t="s">
        <v>75</v>
      </c>
      <c r="T412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12" s="28" t="s">
        <v>76</v>
      </c>
      <c r="V412" s="29" t="s">
        <v>6</v>
      </c>
      <c r="W412" s="29" t="s">
        <v>11</v>
      </c>
      <c r="X412" s="27"/>
      <c r="Y412" s="27">
        <f>IF(DataTable[[#This Row],[explanation1]]="BL",1,IF(DataTable[[#This Row],[explanation2]]="BL",1,IF(DataTable[[#This Row],[explanation1]]="BR",1,IF(DataTable[[#This Row],[explanation2]]="BR",1,0))))</f>
        <v>1</v>
      </c>
      <c r="Z412" s="18">
        <f>IF(DataTable[[#This Row],[explanation1]]="BL",1,IF(DataTable[[#This Row],[explanation2]]="BL",1,0))</f>
        <v>1</v>
      </c>
      <c r="AA412" s="18">
        <f>IF(DataTable[[#This Row],[explanation1]]="WJ",1,IF(DataTable[[#This Row],[explanation2]]="WJ",1,0))</f>
        <v>0</v>
      </c>
      <c r="AB412" s="18">
        <f>IF(DataTable[[#This Row],[explanation1]]="U",1,IF(DataTable[[#This Row],[explanation2]]="U",1,0))</f>
        <v>0</v>
      </c>
      <c r="AC412" s="18">
        <f>IF(DataTable[[#This Row],[explanation1]]="O",1,IF(DataTable[[#This Row],[explanation2]]="O",1,0))</f>
        <v>0</v>
      </c>
      <c r="AD412" s="18">
        <f>IF(DataTable[[#This Row],[explanation1]]="TP",1,IF(DataTable[[#This Row],[explanation2]]="TP",1,0))</f>
        <v>0</v>
      </c>
      <c r="AE412" s="18">
        <f>IF(DataTable[[#This Row],[explanation1]]="WP",1,IF(DataTable[[#This Row],[explanation2]]="WP",1,0))</f>
        <v>1</v>
      </c>
      <c r="AF412" s="18">
        <f>IF(DataTable[[#This Row],[explanation1]]="BR",1,IF(DataTable[[#This Row],[explanation2]]="BR",1,0))</f>
        <v>0</v>
      </c>
      <c r="AG412" s="18">
        <f>IF(DataTable[[#This Row],[explanation1]]="LS",1,IF(DataTable[[#This Row],[explanation2]]="LS",1,0))</f>
        <v>0</v>
      </c>
      <c r="AH412" s="45" t="s">
        <v>432</v>
      </c>
    </row>
    <row r="413" spans="1:34" x14ac:dyDescent="0.2">
      <c r="A413" s="13">
        <v>411</v>
      </c>
      <c r="B413" s="167" t="s">
        <v>57</v>
      </c>
      <c r="C413" s="167" t="s">
        <v>74</v>
      </c>
      <c r="D413" s="167">
        <v>50</v>
      </c>
      <c r="E413" s="14" t="s">
        <v>46</v>
      </c>
      <c r="F413" s="16">
        <v>20</v>
      </c>
      <c r="G413" s="14" t="s">
        <v>47</v>
      </c>
      <c r="H413" s="15" t="s">
        <v>81</v>
      </c>
      <c r="I413" s="16" t="str">
        <f t="shared" si="6"/>
        <v>H1</v>
      </c>
      <c r="J413" s="167" t="s">
        <v>78</v>
      </c>
      <c r="K413" s="16" t="s">
        <v>50</v>
      </c>
      <c r="L413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13" s="15">
        <f>IF(DataTable[[#This Row],[3x head (H)/tail (T)?]]=DataTable[[#This Row],[then 4th: H/T/B/0]],1,0)</f>
        <v>0</v>
      </c>
      <c r="N413" s="15">
        <f>IF(DataTable[[#This Row],[then 4th: H/T/B/0]]="B",1,0)</f>
        <v>1</v>
      </c>
      <c r="O413" s="14" t="s">
        <v>436</v>
      </c>
      <c r="P413" s="167">
        <v>14</v>
      </c>
      <c r="Q413" s="169" t="s">
        <v>118</v>
      </c>
      <c r="R413" s="16" t="s">
        <v>58</v>
      </c>
      <c r="S413" s="18" t="s">
        <v>65</v>
      </c>
      <c r="T413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413" s="19" t="s">
        <v>86</v>
      </c>
      <c r="V413" s="20" t="s">
        <v>7</v>
      </c>
      <c r="W413" s="20" t="s">
        <v>8</v>
      </c>
      <c r="X413" s="18"/>
      <c r="Y413" s="18">
        <f>IF(DataTable[[#This Row],[explanation1]]="BL",1,IF(DataTable[[#This Row],[explanation2]]="BL",1,IF(DataTable[[#This Row],[explanation1]]="BR",1,IF(DataTable[[#This Row],[explanation2]]="BR",1,0))))</f>
        <v>0</v>
      </c>
      <c r="Z413" s="18">
        <f>IF(DataTable[[#This Row],[explanation1]]="BL",1,IF(DataTable[[#This Row],[explanation2]]="BL",1,0))</f>
        <v>0</v>
      </c>
      <c r="AA413" s="18">
        <f>IF(DataTable[[#This Row],[explanation1]]="WJ",1,IF(DataTable[[#This Row],[explanation2]]="WJ",1,0))</f>
        <v>1</v>
      </c>
      <c r="AB413" s="18">
        <f>IF(DataTable[[#This Row],[explanation1]]="U",1,IF(DataTable[[#This Row],[explanation2]]="U",1,0))</f>
        <v>1</v>
      </c>
      <c r="AC413" s="18">
        <f>IF(DataTable[[#This Row],[explanation1]]="O",1,IF(DataTable[[#This Row],[explanation2]]="O",1,0))</f>
        <v>0</v>
      </c>
      <c r="AD413" s="18">
        <f>IF(DataTable[[#This Row],[explanation1]]="TP",1,IF(DataTable[[#This Row],[explanation2]]="TP",1,0))</f>
        <v>0</v>
      </c>
      <c r="AE413" s="18">
        <f>IF(DataTable[[#This Row],[explanation1]]="WP",1,IF(DataTable[[#This Row],[explanation2]]="WP",1,0))</f>
        <v>0</v>
      </c>
      <c r="AF413" s="18">
        <f>IF(DataTable[[#This Row],[explanation1]]="BR",1,IF(DataTable[[#This Row],[explanation2]]="BR",1,0))</f>
        <v>0</v>
      </c>
      <c r="AG413" s="18">
        <f>IF(DataTable[[#This Row],[explanation1]]="LS",1,IF(DataTable[[#This Row],[explanation2]]="LS",1,0))</f>
        <v>0</v>
      </c>
      <c r="AH413" s="45" t="s">
        <v>433</v>
      </c>
    </row>
    <row r="414" spans="1:34" x14ac:dyDescent="0.2">
      <c r="A414" s="22">
        <v>412</v>
      </c>
      <c r="B414" s="167" t="s">
        <v>57</v>
      </c>
      <c r="C414" s="167" t="s">
        <v>74</v>
      </c>
      <c r="D414" s="167">
        <v>50</v>
      </c>
      <c r="E414" s="23" t="s">
        <v>46</v>
      </c>
      <c r="F414" s="25">
        <v>42</v>
      </c>
      <c r="G414" s="23" t="s">
        <v>47</v>
      </c>
      <c r="H414" s="24" t="s">
        <v>48</v>
      </c>
      <c r="I414" s="25" t="str">
        <f t="shared" si="6"/>
        <v>R</v>
      </c>
      <c r="J414" s="167" t="s">
        <v>49</v>
      </c>
      <c r="K414" s="25" t="s">
        <v>78</v>
      </c>
      <c r="L414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414" s="24">
        <f>IF(DataTable[[#This Row],[3x head (H)/tail (T)?]]=DataTable[[#This Row],[then 4th: H/T/B/0]],1,0)</f>
        <v>0</v>
      </c>
      <c r="N414" s="24">
        <f>IF(DataTable[[#This Row],[then 4th: H/T/B/0]]="B",1,0)</f>
        <v>0</v>
      </c>
      <c r="O414" s="23" t="s">
        <v>436</v>
      </c>
      <c r="P414" s="167">
        <v>14</v>
      </c>
      <c r="Q414" s="168" t="s">
        <v>118</v>
      </c>
      <c r="R414" s="25" t="s">
        <v>58</v>
      </c>
      <c r="S414" s="27" t="s">
        <v>75</v>
      </c>
      <c r="T414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14" s="28" t="s">
        <v>76</v>
      </c>
      <c r="V414" s="29" t="s">
        <v>6</v>
      </c>
      <c r="W414" s="29" t="s">
        <v>13</v>
      </c>
      <c r="X414" s="27"/>
      <c r="Y414" s="27">
        <f>IF(DataTable[[#This Row],[explanation1]]="BL",1,IF(DataTable[[#This Row],[explanation2]]="BL",1,IF(DataTable[[#This Row],[explanation1]]="BR",1,IF(DataTable[[#This Row],[explanation2]]="BR",1,0))))</f>
        <v>1</v>
      </c>
      <c r="Z414" s="18">
        <f>IF(DataTable[[#This Row],[explanation1]]="BL",1,IF(DataTable[[#This Row],[explanation2]]="BL",1,0))</f>
        <v>1</v>
      </c>
      <c r="AA414" s="18">
        <f>IF(DataTable[[#This Row],[explanation1]]="WJ",1,IF(DataTable[[#This Row],[explanation2]]="WJ",1,0))</f>
        <v>0</v>
      </c>
      <c r="AB414" s="18">
        <f>IF(DataTable[[#This Row],[explanation1]]="U",1,IF(DataTable[[#This Row],[explanation2]]="U",1,0))</f>
        <v>0</v>
      </c>
      <c r="AC414" s="18">
        <f>IF(DataTable[[#This Row],[explanation1]]="O",1,IF(DataTable[[#This Row],[explanation2]]="O",1,0))</f>
        <v>0</v>
      </c>
      <c r="AD414" s="18">
        <f>IF(DataTable[[#This Row],[explanation1]]="TP",1,IF(DataTable[[#This Row],[explanation2]]="TP",1,0))</f>
        <v>0</v>
      </c>
      <c r="AE414" s="18">
        <f>IF(DataTable[[#This Row],[explanation1]]="WP",1,IF(DataTable[[#This Row],[explanation2]]="WP",1,0))</f>
        <v>0</v>
      </c>
      <c r="AF414" s="18">
        <f>IF(DataTable[[#This Row],[explanation1]]="BR",1,IF(DataTable[[#This Row],[explanation2]]="BR",1,0))</f>
        <v>0</v>
      </c>
      <c r="AG414" s="18">
        <f>IF(DataTable[[#This Row],[explanation1]]="LS",1,IF(DataTable[[#This Row],[explanation2]]="LS",1,0))</f>
        <v>1</v>
      </c>
      <c r="AH414" s="45" t="s">
        <v>434</v>
      </c>
    </row>
    <row r="415" spans="1:34" x14ac:dyDescent="0.2">
      <c r="A415" s="13">
        <v>413</v>
      </c>
      <c r="B415" s="167" t="s">
        <v>57</v>
      </c>
      <c r="C415" s="167" t="s">
        <v>45</v>
      </c>
      <c r="D415" s="167">
        <v>50</v>
      </c>
      <c r="E415" s="14" t="s">
        <v>46</v>
      </c>
      <c r="F415" s="16">
        <v>31</v>
      </c>
      <c r="G415" s="14" t="s">
        <v>47</v>
      </c>
      <c r="H415" s="15" t="s">
        <v>48</v>
      </c>
      <c r="I415" s="16" t="str">
        <f t="shared" si="6"/>
        <v>R</v>
      </c>
      <c r="J415" s="167" t="s">
        <v>78</v>
      </c>
      <c r="K415" s="16" t="s">
        <v>50</v>
      </c>
      <c r="L415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15" s="15">
        <f>IF(DataTable[[#This Row],[3x head (H)/tail (T)?]]=DataTable[[#This Row],[then 4th: H/T/B/0]],1,0)</f>
        <v>0</v>
      </c>
      <c r="N415" s="15">
        <f>IF(DataTable[[#This Row],[then 4th: H/T/B/0]]="B",1,0)</f>
        <v>1</v>
      </c>
      <c r="O415" s="14" t="s">
        <v>436</v>
      </c>
      <c r="P415" s="167">
        <v>14</v>
      </c>
      <c r="Q415" s="169" t="s">
        <v>118</v>
      </c>
      <c r="R415" s="16" t="s">
        <v>58</v>
      </c>
      <c r="S415" s="18" t="s">
        <v>75</v>
      </c>
      <c r="T415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15" s="19" t="s">
        <v>76</v>
      </c>
      <c r="V415" s="20" t="s">
        <v>7</v>
      </c>
      <c r="W415" s="20"/>
      <c r="X415" s="18"/>
      <c r="Y415" s="18">
        <f>IF(DataTable[[#This Row],[explanation1]]="BL",1,IF(DataTable[[#This Row],[explanation2]]="BL",1,IF(DataTable[[#This Row],[explanation1]]="BR",1,IF(DataTable[[#This Row],[explanation2]]="BR",1,0))))</f>
        <v>0</v>
      </c>
      <c r="Z415" s="18">
        <f>IF(DataTable[[#This Row],[explanation1]]="BL",1,IF(DataTable[[#This Row],[explanation2]]="BL",1,0))</f>
        <v>0</v>
      </c>
      <c r="AA415" s="18">
        <f>IF(DataTable[[#This Row],[explanation1]]="WJ",1,IF(DataTable[[#This Row],[explanation2]]="WJ",1,0))</f>
        <v>1</v>
      </c>
      <c r="AB415" s="18">
        <f>IF(DataTable[[#This Row],[explanation1]]="U",1,IF(DataTable[[#This Row],[explanation2]]="U",1,0))</f>
        <v>0</v>
      </c>
      <c r="AC415" s="18">
        <f>IF(DataTable[[#This Row],[explanation1]]="O",1,IF(DataTable[[#This Row],[explanation2]]="O",1,0))</f>
        <v>0</v>
      </c>
      <c r="AD415" s="18">
        <f>IF(DataTable[[#This Row],[explanation1]]="TP",1,IF(DataTable[[#This Row],[explanation2]]="TP",1,0))</f>
        <v>0</v>
      </c>
      <c r="AE415" s="18">
        <f>IF(DataTable[[#This Row],[explanation1]]="WP",1,IF(DataTable[[#This Row],[explanation2]]="WP",1,0))</f>
        <v>0</v>
      </c>
      <c r="AF415" s="18">
        <f>IF(DataTable[[#This Row],[explanation1]]="BR",1,IF(DataTable[[#This Row],[explanation2]]="BR",1,0))</f>
        <v>0</v>
      </c>
      <c r="AG415" s="18">
        <f>IF(DataTable[[#This Row],[explanation1]]="LS",1,IF(DataTable[[#This Row],[explanation2]]="LS",1,0))</f>
        <v>0</v>
      </c>
      <c r="AH415" s="45" t="s">
        <v>7</v>
      </c>
    </row>
    <row r="416" spans="1:34" x14ac:dyDescent="0.2">
      <c r="A416" s="22">
        <v>414</v>
      </c>
      <c r="B416" s="167" t="s">
        <v>57</v>
      </c>
      <c r="C416" s="167" t="s">
        <v>45</v>
      </c>
      <c r="D416" s="167">
        <v>1</v>
      </c>
      <c r="E416" s="23" t="s">
        <v>58</v>
      </c>
      <c r="F416" s="25">
        <v>24</v>
      </c>
      <c r="G416" s="23" t="s">
        <v>47</v>
      </c>
      <c r="H416" s="24" t="s">
        <v>81</v>
      </c>
      <c r="I416" s="25" t="str">
        <f t="shared" si="6"/>
        <v>H1</v>
      </c>
      <c r="J416" s="167" t="s">
        <v>78</v>
      </c>
      <c r="K416" s="25" t="s">
        <v>50</v>
      </c>
      <c r="L416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16" s="24">
        <f>IF(DataTable[[#This Row],[3x head (H)/tail (T)?]]=DataTable[[#This Row],[then 4th: H/T/B/0]],1,0)</f>
        <v>0</v>
      </c>
      <c r="N416" s="24">
        <f>IF(DataTable[[#This Row],[then 4th: H/T/B/0]]="B",1,0)</f>
        <v>1</v>
      </c>
      <c r="O416" s="23" t="s">
        <v>436</v>
      </c>
      <c r="P416" s="167">
        <v>14</v>
      </c>
      <c r="Q416" s="168" t="s">
        <v>118</v>
      </c>
      <c r="R416" s="25" t="s">
        <v>58</v>
      </c>
      <c r="S416" s="27" t="s">
        <v>75</v>
      </c>
      <c r="T416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16" s="28" t="s">
        <v>76</v>
      </c>
      <c r="V416" s="29" t="s">
        <v>7</v>
      </c>
      <c r="W416" s="29"/>
      <c r="X416" s="27"/>
      <c r="Y416" s="27">
        <f>IF(DataTable[[#This Row],[explanation1]]="BL",1,IF(DataTable[[#This Row],[explanation2]]="BL",1,IF(DataTable[[#This Row],[explanation1]]="BR",1,IF(DataTable[[#This Row],[explanation2]]="BR",1,0))))</f>
        <v>0</v>
      </c>
      <c r="Z416" s="18">
        <f>IF(DataTable[[#This Row],[explanation1]]="BL",1,IF(DataTable[[#This Row],[explanation2]]="BL",1,0))</f>
        <v>0</v>
      </c>
      <c r="AA416" s="18">
        <f>IF(DataTable[[#This Row],[explanation1]]="WJ",1,IF(DataTable[[#This Row],[explanation2]]="WJ",1,0))</f>
        <v>1</v>
      </c>
      <c r="AB416" s="18">
        <f>IF(DataTable[[#This Row],[explanation1]]="U",1,IF(DataTable[[#This Row],[explanation2]]="U",1,0))</f>
        <v>0</v>
      </c>
      <c r="AC416" s="18">
        <f>IF(DataTable[[#This Row],[explanation1]]="O",1,IF(DataTable[[#This Row],[explanation2]]="O",1,0))</f>
        <v>0</v>
      </c>
      <c r="AD416" s="18">
        <f>IF(DataTable[[#This Row],[explanation1]]="TP",1,IF(DataTable[[#This Row],[explanation2]]="TP",1,0))</f>
        <v>0</v>
      </c>
      <c r="AE416" s="18">
        <f>IF(DataTable[[#This Row],[explanation1]]="WP",1,IF(DataTable[[#This Row],[explanation2]]="WP",1,0))</f>
        <v>0</v>
      </c>
      <c r="AF416" s="18">
        <f>IF(DataTable[[#This Row],[explanation1]]="BR",1,IF(DataTable[[#This Row],[explanation2]]="BR",1,0))</f>
        <v>0</v>
      </c>
      <c r="AG416" s="18">
        <f>IF(DataTable[[#This Row],[explanation1]]="LS",1,IF(DataTable[[#This Row],[explanation2]]="LS",1,0))</f>
        <v>0</v>
      </c>
      <c r="AH416" s="45" t="s">
        <v>7</v>
      </c>
    </row>
    <row r="417" spans="1:34" x14ac:dyDescent="0.2">
      <c r="A417" s="13">
        <v>415</v>
      </c>
      <c r="B417" s="167" t="s">
        <v>57</v>
      </c>
      <c r="C417" s="167" t="s">
        <v>74</v>
      </c>
      <c r="D417" s="167">
        <v>1</v>
      </c>
      <c r="E417" s="14" t="s">
        <v>58</v>
      </c>
      <c r="F417" s="16">
        <v>18</v>
      </c>
      <c r="G417" s="14" t="s">
        <v>47</v>
      </c>
      <c r="H417" s="15" t="s">
        <v>48</v>
      </c>
      <c r="I417" s="16" t="str">
        <f t="shared" si="6"/>
        <v>R</v>
      </c>
      <c r="J417" s="167" t="s">
        <v>78</v>
      </c>
      <c r="K417" s="16" t="s">
        <v>49</v>
      </c>
      <c r="L417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417" s="15">
        <f>IF(DataTable[[#This Row],[3x head (H)/tail (T)?]]=DataTable[[#This Row],[then 4th: H/T/B/0]],1,0)</f>
        <v>0</v>
      </c>
      <c r="N417" s="15">
        <f>IF(DataTable[[#This Row],[then 4th: H/T/B/0]]="B",1,0)</f>
        <v>0</v>
      </c>
      <c r="O417" s="14" t="s">
        <v>436</v>
      </c>
      <c r="P417" s="167">
        <v>14</v>
      </c>
      <c r="Q417" s="169" t="s">
        <v>118</v>
      </c>
      <c r="R417" s="16" t="s">
        <v>58</v>
      </c>
      <c r="S417" s="18" t="s">
        <v>75</v>
      </c>
      <c r="T417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17" s="19" t="s">
        <v>76</v>
      </c>
      <c r="V417" s="20" t="s">
        <v>6</v>
      </c>
      <c r="W417" s="20" t="s">
        <v>11</v>
      </c>
      <c r="X417" s="18"/>
      <c r="Y417" s="18">
        <f>IF(DataTable[[#This Row],[explanation1]]="BL",1,IF(DataTable[[#This Row],[explanation2]]="BL",1,IF(DataTable[[#This Row],[explanation1]]="BR",1,IF(DataTable[[#This Row],[explanation2]]="BR",1,0))))</f>
        <v>1</v>
      </c>
      <c r="Z417" s="18">
        <f>IF(DataTable[[#This Row],[explanation1]]="BL",1,IF(DataTable[[#This Row],[explanation2]]="BL",1,0))</f>
        <v>1</v>
      </c>
      <c r="AA417" s="18">
        <f>IF(DataTable[[#This Row],[explanation1]]="WJ",1,IF(DataTable[[#This Row],[explanation2]]="WJ",1,0))</f>
        <v>0</v>
      </c>
      <c r="AB417" s="18">
        <f>IF(DataTable[[#This Row],[explanation1]]="U",1,IF(DataTable[[#This Row],[explanation2]]="U",1,0))</f>
        <v>0</v>
      </c>
      <c r="AC417" s="18">
        <f>IF(DataTable[[#This Row],[explanation1]]="O",1,IF(DataTable[[#This Row],[explanation2]]="O",1,0))</f>
        <v>0</v>
      </c>
      <c r="AD417" s="18">
        <f>IF(DataTable[[#This Row],[explanation1]]="TP",1,IF(DataTable[[#This Row],[explanation2]]="TP",1,0))</f>
        <v>0</v>
      </c>
      <c r="AE417" s="18">
        <f>IF(DataTable[[#This Row],[explanation1]]="WP",1,IF(DataTable[[#This Row],[explanation2]]="WP",1,0))</f>
        <v>1</v>
      </c>
      <c r="AF417" s="18">
        <f>IF(DataTable[[#This Row],[explanation1]]="BR",1,IF(DataTable[[#This Row],[explanation2]]="BR",1,0))</f>
        <v>0</v>
      </c>
      <c r="AG417" s="18">
        <f>IF(DataTable[[#This Row],[explanation1]]="LS",1,IF(DataTable[[#This Row],[explanation2]]="LS",1,0))</f>
        <v>0</v>
      </c>
      <c r="AH417" s="45" t="s">
        <v>414</v>
      </c>
    </row>
    <row r="418" spans="1:34" x14ac:dyDescent="0.2">
      <c r="A418" s="22">
        <v>416</v>
      </c>
      <c r="B418" s="167" t="s">
        <v>68</v>
      </c>
      <c r="C418" s="167" t="s">
        <v>74</v>
      </c>
      <c r="D418" s="167">
        <v>1</v>
      </c>
      <c r="E418" s="23" t="s">
        <v>58</v>
      </c>
      <c r="F418" s="25">
        <v>22</v>
      </c>
      <c r="G418" s="23" t="s">
        <v>47</v>
      </c>
      <c r="H418" s="24" t="s">
        <v>48</v>
      </c>
      <c r="I418" s="25" t="str">
        <f t="shared" si="6"/>
        <v>R</v>
      </c>
      <c r="J418" s="167" t="s">
        <v>49</v>
      </c>
      <c r="K418" s="25" t="s">
        <v>50</v>
      </c>
      <c r="L418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18" s="24">
        <f>IF(DataTable[[#This Row],[3x head (H)/tail (T)?]]=DataTable[[#This Row],[then 4th: H/T/B/0]],1,0)</f>
        <v>0</v>
      </c>
      <c r="N418" s="24">
        <f>IF(DataTable[[#This Row],[then 4th: H/T/B/0]]="B",1,0)</f>
        <v>1</v>
      </c>
      <c r="O418" s="23" t="s">
        <v>436</v>
      </c>
      <c r="P418" s="167">
        <v>14</v>
      </c>
      <c r="Q418" s="168" t="s">
        <v>118</v>
      </c>
      <c r="R418" s="25" t="s">
        <v>58</v>
      </c>
      <c r="S418" s="27" t="s">
        <v>75</v>
      </c>
      <c r="T418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18" s="28" t="s">
        <v>76</v>
      </c>
      <c r="V418" s="29" t="s">
        <v>9</v>
      </c>
      <c r="W418" s="29"/>
      <c r="X418" s="27"/>
      <c r="Y418" s="27">
        <f>IF(DataTable[[#This Row],[explanation1]]="BL",1,IF(DataTable[[#This Row],[explanation2]]="BL",1,IF(DataTable[[#This Row],[explanation1]]="BR",1,IF(DataTable[[#This Row],[explanation2]]="BR",1,0))))</f>
        <v>0</v>
      </c>
      <c r="Z418" s="18">
        <f>IF(DataTable[[#This Row],[explanation1]]="BL",1,IF(DataTable[[#This Row],[explanation2]]="BL",1,0))</f>
        <v>0</v>
      </c>
      <c r="AA418" s="18">
        <f>IF(DataTable[[#This Row],[explanation1]]="WJ",1,IF(DataTable[[#This Row],[explanation2]]="WJ",1,0))</f>
        <v>0</v>
      </c>
      <c r="AB418" s="18">
        <f>IF(DataTable[[#This Row],[explanation1]]="U",1,IF(DataTable[[#This Row],[explanation2]]="U",1,0))</f>
        <v>0</v>
      </c>
      <c r="AC418" s="18">
        <f>IF(DataTable[[#This Row],[explanation1]]="O",1,IF(DataTable[[#This Row],[explanation2]]="O",1,0))</f>
        <v>1</v>
      </c>
      <c r="AD418" s="18">
        <f>IF(DataTable[[#This Row],[explanation1]]="TP",1,IF(DataTable[[#This Row],[explanation2]]="TP",1,0))</f>
        <v>0</v>
      </c>
      <c r="AE418" s="18">
        <f>IF(DataTable[[#This Row],[explanation1]]="WP",1,IF(DataTable[[#This Row],[explanation2]]="WP",1,0))</f>
        <v>0</v>
      </c>
      <c r="AF418" s="18">
        <f>IF(DataTable[[#This Row],[explanation1]]="BR",1,IF(DataTable[[#This Row],[explanation2]]="BR",1,0))</f>
        <v>0</v>
      </c>
      <c r="AG418" s="18">
        <f>IF(DataTable[[#This Row],[explanation1]]="LS",1,IF(DataTable[[#This Row],[explanation2]]="LS",1,0))</f>
        <v>0</v>
      </c>
      <c r="AH418" s="45" t="s">
        <v>9</v>
      </c>
    </row>
    <row r="419" spans="1:34" x14ac:dyDescent="0.2">
      <c r="A419" s="13">
        <v>417</v>
      </c>
      <c r="B419" s="167" t="s">
        <v>68</v>
      </c>
      <c r="C419" s="167" t="s">
        <v>74</v>
      </c>
      <c r="D419" s="167">
        <v>1</v>
      </c>
      <c r="E419" s="14" t="s">
        <v>46</v>
      </c>
      <c r="F419" s="16">
        <v>20</v>
      </c>
      <c r="G419" s="14" t="s">
        <v>47</v>
      </c>
      <c r="H419" s="15" t="s">
        <v>48</v>
      </c>
      <c r="I419" s="16" t="str">
        <f t="shared" si="6"/>
        <v>R</v>
      </c>
      <c r="J419" s="167" t="s">
        <v>49</v>
      </c>
      <c r="K419" s="16" t="s">
        <v>50</v>
      </c>
      <c r="L419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19" s="15">
        <f>IF(DataTable[[#This Row],[3x head (H)/tail (T)?]]=DataTable[[#This Row],[then 4th: H/T/B/0]],1,0)</f>
        <v>0</v>
      </c>
      <c r="N419" s="15">
        <f>IF(DataTable[[#This Row],[then 4th: H/T/B/0]]="B",1,0)</f>
        <v>1</v>
      </c>
      <c r="O419" s="14" t="s">
        <v>436</v>
      </c>
      <c r="P419" s="167">
        <v>14</v>
      </c>
      <c r="Q419" s="169" t="s">
        <v>118</v>
      </c>
      <c r="R419" s="16" t="s">
        <v>58</v>
      </c>
      <c r="S419" s="18" t="s">
        <v>54</v>
      </c>
      <c r="T419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419" s="19" t="s">
        <v>116</v>
      </c>
      <c r="V419" s="20" t="s">
        <v>6</v>
      </c>
      <c r="W419" s="20"/>
      <c r="X419" s="18"/>
      <c r="Y419" s="18">
        <f>IF(DataTable[[#This Row],[explanation1]]="BL",1,IF(DataTable[[#This Row],[explanation2]]="BL",1,IF(DataTable[[#This Row],[explanation1]]="BR",1,IF(DataTable[[#This Row],[explanation2]]="BR",1,0))))</f>
        <v>1</v>
      </c>
      <c r="Z419" s="18">
        <f>IF(DataTable[[#This Row],[explanation1]]="BL",1,IF(DataTable[[#This Row],[explanation2]]="BL",1,0))</f>
        <v>1</v>
      </c>
      <c r="AA419" s="18">
        <f>IF(DataTable[[#This Row],[explanation1]]="WJ",1,IF(DataTable[[#This Row],[explanation2]]="WJ",1,0))</f>
        <v>0</v>
      </c>
      <c r="AB419" s="18">
        <f>IF(DataTable[[#This Row],[explanation1]]="U",1,IF(DataTable[[#This Row],[explanation2]]="U",1,0))</f>
        <v>0</v>
      </c>
      <c r="AC419" s="18">
        <f>IF(DataTable[[#This Row],[explanation1]]="O",1,IF(DataTable[[#This Row],[explanation2]]="O",1,0))</f>
        <v>0</v>
      </c>
      <c r="AD419" s="18">
        <f>IF(DataTable[[#This Row],[explanation1]]="TP",1,IF(DataTable[[#This Row],[explanation2]]="TP",1,0))</f>
        <v>0</v>
      </c>
      <c r="AE419" s="18">
        <f>IF(DataTable[[#This Row],[explanation1]]="WP",1,IF(DataTable[[#This Row],[explanation2]]="WP",1,0))</f>
        <v>0</v>
      </c>
      <c r="AF419" s="18">
        <f>IF(DataTable[[#This Row],[explanation1]]="BR",1,IF(DataTable[[#This Row],[explanation2]]="BR",1,0))</f>
        <v>0</v>
      </c>
      <c r="AG419" s="18">
        <f>IF(DataTable[[#This Row],[explanation1]]="LS",1,IF(DataTable[[#This Row],[explanation2]]="LS",1,0))</f>
        <v>0</v>
      </c>
      <c r="AH419" s="45" t="s">
        <v>6</v>
      </c>
    </row>
    <row r="420" spans="1:34" x14ac:dyDescent="0.2">
      <c r="A420" s="22">
        <v>418</v>
      </c>
      <c r="B420" s="167" t="s">
        <v>68</v>
      </c>
      <c r="C420" s="167" t="s">
        <v>45</v>
      </c>
      <c r="D420" s="167">
        <v>1</v>
      </c>
      <c r="E420" s="23" t="s">
        <v>58</v>
      </c>
      <c r="F420" s="25">
        <v>19</v>
      </c>
      <c r="G420" s="23" t="s">
        <v>47</v>
      </c>
      <c r="H420" s="24" t="s">
        <v>48</v>
      </c>
      <c r="I420" s="25" t="str">
        <f t="shared" si="6"/>
        <v>R</v>
      </c>
      <c r="J420" s="167" t="s">
        <v>78</v>
      </c>
      <c r="K420" s="25" t="s">
        <v>49</v>
      </c>
      <c r="L420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420" s="24">
        <f>IF(DataTable[[#This Row],[3x head (H)/tail (T)?]]=DataTable[[#This Row],[then 4th: H/T/B/0]],1,0)</f>
        <v>0</v>
      </c>
      <c r="N420" s="24">
        <f>IF(DataTable[[#This Row],[then 4th: H/T/B/0]]="B",1,0)</f>
        <v>0</v>
      </c>
      <c r="O420" s="23" t="s">
        <v>436</v>
      </c>
      <c r="P420" s="167">
        <v>14</v>
      </c>
      <c r="Q420" s="168" t="s">
        <v>118</v>
      </c>
      <c r="R420" s="25" t="s">
        <v>58</v>
      </c>
      <c r="S420" s="27" t="s">
        <v>75</v>
      </c>
      <c r="T420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20" s="28" t="s">
        <v>76</v>
      </c>
      <c r="V420" s="29" t="s">
        <v>6</v>
      </c>
      <c r="W420" s="29"/>
      <c r="X420" s="27"/>
      <c r="Y420" s="27">
        <f>IF(DataTable[[#This Row],[explanation1]]="BL",1,IF(DataTable[[#This Row],[explanation2]]="BL",1,IF(DataTable[[#This Row],[explanation1]]="BR",1,IF(DataTable[[#This Row],[explanation2]]="BR",1,0))))</f>
        <v>1</v>
      </c>
      <c r="Z420" s="18">
        <f>IF(DataTable[[#This Row],[explanation1]]="BL",1,IF(DataTable[[#This Row],[explanation2]]="BL",1,0))</f>
        <v>1</v>
      </c>
      <c r="AA420" s="18">
        <f>IF(DataTable[[#This Row],[explanation1]]="WJ",1,IF(DataTable[[#This Row],[explanation2]]="WJ",1,0))</f>
        <v>0</v>
      </c>
      <c r="AB420" s="18">
        <f>IF(DataTable[[#This Row],[explanation1]]="U",1,IF(DataTable[[#This Row],[explanation2]]="U",1,0))</f>
        <v>0</v>
      </c>
      <c r="AC420" s="18">
        <f>IF(DataTable[[#This Row],[explanation1]]="O",1,IF(DataTable[[#This Row],[explanation2]]="O",1,0))</f>
        <v>0</v>
      </c>
      <c r="AD420" s="18">
        <f>IF(DataTable[[#This Row],[explanation1]]="TP",1,IF(DataTable[[#This Row],[explanation2]]="TP",1,0))</f>
        <v>0</v>
      </c>
      <c r="AE420" s="18">
        <f>IF(DataTable[[#This Row],[explanation1]]="WP",1,IF(DataTable[[#This Row],[explanation2]]="WP",1,0))</f>
        <v>0</v>
      </c>
      <c r="AF420" s="18">
        <f>IF(DataTable[[#This Row],[explanation1]]="BR",1,IF(DataTable[[#This Row],[explanation2]]="BR",1,0))</f>
        <v>0</v>
      </c>
      <c r="AG420" s="18">
        <f>IF(DataTable[[#This Row],[explanation1]]="LS",1,IF(DataTable[[#This Row],[explanation2]]="LS",1,0))</f>
        <v>0</v>
      </c>
      <c r="AH420" s="45" t="s">
        <v>6</v>
      </c>
    </row>
    <row r="421" spans="1:34" x14ac:dyDescent="0.2">
      <c r="A421" s="13">
        <v>419</v>
      </c>
      <c r="B421" s="167" t="s">
        <v>68</v>
      </c>
      <c r="C421" s="167" t="s">
        <v>45</v>
      </c>
      <c r="D421" s="167">
        <v>1</v>
      </c>
      <c r="E421" s="14" t="s">
        <v>46</v>
      </c>
      <c r="F421" s="16">
        <v>35</v>
      </c>
      <c r="G421" s="14" t="s">
        <v>47</v>
      </c>
      <c r="H421" s="15" t="s">
        <v>48</v>
      </c>
      <c r="I421" s="16" t="str">
        <f t="shared" si="6"/>
        <v>R</v>
      </c>
      <c r="J421" s="167" t="s">
        <v>78</v>
      </c>
      <c r="K421" s="16" t="s">
        <v>50</v>
      </c>
      <c r="L421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21" s="15">
        <f>IF(DataTable[[#This Row],[3x head (H)/tail (T)?]]=DataTable[[#This Row],[then 4th: H/T/B/0]],1,0)</f>
        <v>0</v>
      </c>
      <c r="N421" s="15">
        <f>IF(DataTable[[#This Row],[then 4th: H/T/B/0]]="B",1,0)</f>
        <v>1</v>
      </c>
      <c r="O421" s="14" t="s">
        <v>436</v>
      </c>
      <c r="P421" s="167">
        <v>14</v>
      </c>
      <c r="Q421" s="169" t="s">
        <v>118</v>
      </c>
      <c r="R421" s="16" t="s">
        <v>58</v>
      </c>
      <c r="S421" s="18" t="s">
        <v>61</v>
      </c>
      <c r="T421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4</v>
      </c>
      <c r="U421" s="19" t="s">
        <v>173</v>
      </c>
      <c r="V421" s="20" t="s">
        <v>7</v>
      </c>
      <c r="W421" s="20"/>
      <c r="X421" s="18"/>
      <c r="Y421" s="18">
        <f>IF(DataTable[[#This Row],[explanation1]]="BL",1,IF(DataTable[[#This Row],[explanation2]]="BL",1,IF(DataTable[[#This Row],[explanation1]]="BR",1,IF(DataTable[[#This Row],[explanation2]]="BR",1,0))))</f>
        <v>0</v>
      </c>
      <c r="Z421" s="18">
        <f>IF(DataTable[[#This Row],[explanation1]]="BL",1,IF(DataTable[[#This Row],[explanation2]]="BL",1,0))</f>
        <v>0</v>
      </c>
      <c r="AA421" s="18">
        <f>IF(DataTable[[#This Row],[explanation1]]="WJ",1,IF(DataTable[[#This Row],[explanation2]]="WJ",1,0))</f>
        <v>1</v>
      </c>
      <c r="AB421" s="18">
        <f>IF(DataTable[[#This Row],[explanation1]]="U",1,IF(DataTable[[#This Row],[explanation2]]="U",1,0))</f>
        <v>0</v>
      </c>
      <c r="AC421" s="18">
        <f>IF(DataTable[[#This Row],[explanation1]]="O",1,IF(DataTable[[#This Row],[explanation2]]="O",1,0))</f>
        <v>0</v>
      </c>
      <c r="AD421" s="18">
        <f>IF(DataTable[[#This Row],[explanation1]]="TP",1,IF(DataTable[[#This Row],[explanation2]]="TP",1,0))</f>
        <v>0</v>
      </c>
      <c r="AE421" s="18">
        <f>IF(DataTable[[#This Row],[explanation1]]="WP",1,IF(DataTable[[#This Row],[explanation2]]="WP",1,0))</f>
        <v>0</v>
      </c>
      <c r="AF421" s="18">
        <f>IF(DataTable[[#This Row],[explanation1]]="BR",1,IF(DataTable[[#This Row],[explanation2]]="BR",1,0))</f>
        <v>0</v>
      </c>
      <c r="AG421" s="18">
        <f>IF(DataTable[[#This Row],[explanation1]]="LS",1,IF(DataTable[[#This Row],[explanation2]]="LS",1,0))</f>
        <v>0</v>
      </c>
      <c r="AH421" s="45" t="s">
        <v>7</v>
      </c>
    </row>
    <row r="422" spans="1:34" x14ac:dyDescent="0.2">
      <c r="A422" s="22">
        <v>420</v>
      </c>
      <c r="B422" s="167" t="s">
        <v>68</v>
      </c>
      <c r="C422" s="167" t="s">
        <v>45</v>
      </c>
      <c r="D422" s="167">
        <v>1</v>
      </c>
      <c r="E422" s="23" t="s">
        <v>46</v>
      </c>
      <c r="F422" s="25">
        <v>36</v>
      </c>
      <c r="G422" s="23" t="s">
        <v>68</v>
      </c>
      <c r="H422" s="24" t="s">
        <v>48</v>
      </c>
      <c r="I422" s="25" t="str">
        <f t="shared" si="6"/>
        <v>H5</v>
      </c>
      <c r="J422" s="167" t="s">
        <v>49</v>
      </c>
      <c r="K422" s="25" t="s">
        <v>78</v>
      </c>
      <c r="L422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422" s="24">
        <f>IF(DataTable[[#This Row],[3x head (H)/tail (T)?]]=DataTable[[#This Row],[then 4th: H/T/B/0]],1,0)</f>
        <v>0</v>
      </c>
      <c r="N422" s="24">
        <f>IF(DataTable[[#This Row],[then 4th: H/T/B/0]]="B",1,0)</f>
        <v>0</v>
      </c>
      <c r="O422" s="23" t="s">
        <v>436</v>
      </c>
      <c r="P422" s="167">
        <v>14</v>
      </c>
      <c r="Q422" s="168" t="s">
        <v>118</v>
      </c>
      <c r="R422" s="25" t="s">
        <v>58</v>
      </c>
      <c r="S422" s="27" t="s">
        <v>61</v>
      </c>
      <c r="T422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4</v>
      </c>
      <c r="U422" s="28" t="s">
        <v>173</v>
      </c>
      <c r="V422" s="29" t="s">
        <v>9</v>
      </c>
      <c r="W422" s="29"/>
      <c r="X422" s="27"/>
      <c r="Y422" s="27">
        <f>IF(DataTable[[#This Row],[explanation1]]="BL",1,IF(DataTable[[#This Row],[explanation2]]="BL",1,IF(DataTable[[#This Row],[explanation1]]="BR",1,IF(DataTable[[#This Row],[explanation2]]="BR",1,0))))</f>
        <v>0</v>
      </c>
      <c r="Z422" s="18">
        <f>IF(DataTable[[#This Row],[explanation1]]="BL",1,IF(DataTable[[#This Row],[explanation2]]="BL",1,0))</f>
        <v>0</v>
      </c>
      <c r="AA422" s="18">
        <f>IF(DataTable[[#This Row],[explanation1]]="WJ",1,IF(DataTable[[#This Row],[explanation2]]="WJ",1,0))</f>
        <v>0</v>
      </c>
      <c r="AB422" s="18">
        <f>IF(DataTable[[#This Row],[explanation1]]="U",1,IF(DataTable[[#This Row],[explanation2]]="U",1,0))</f>
        <v>0</v>
      </c>
      <c r="AC422" s="18">
        <f>IF(DataTable[[#This Row],[explanation1]]="O",1,IF(DataTable[[#This Row],[explanation2]]="O",1,0))</f>
        <v>1</v>
      </c>
      <c r="AD422" s="18">
        <f>IF(DataTable[[#This Row],[explanation1]]="TP",1,IF(DataTable[[#This Row],[explanation2]]="TP",1,0))</f>
        <v>0</v>
      </c>
      <c r="AE422" s="18">
        <f>IF(DataTable[[#This Row],[explanation1]]="WP",1,IF(DataTable[[#This Row],[explanation2]]="WP",1,0))</f>
        <v>0</v>
      </c>
      <c r="AF422" s="18">
        <f>IF(DataTable[[#This Row],[explanation1]]="BR",1,IF(DataTable[[#This Row],[explanation2]]="BR",1,0))</f>
        <v>0</v>
      </c>
      <c r="AG422" s="18">
        <f>IF(DataTable[[#This Row],[explanation1]]="LS",1,IF(DataTable[[#This Row],[explanation2]]="LS",1,0))</f>
        <v>0</v>
      </c>
      <c r="AH422" s="45" t="s">
        <v>9</v>
      </c>
    </row>
    <row r="423" spans="1:34" x14ac:dyDescent="0.2">
      <c r="A423" s="13">
        <v>421</v>
      </c>
      <c r="B423" s="167" t="s">
        <v>68</v>
      </c>
      <c r="C423" s="167" t="s">
        <v>74</v>
      </c>
      <c r="D423" s="167">
        <v>50</v>
      </c>
      <c r="E423" s="14" t="s">
        <v>46</v>
      </c>
      <c r="F423" s="16">
        <v>21</v>
      </c>
      <c r="G423" s="14" t="s">
        <v>47</v>
      </c>
      <c r="H423" s="15" t="s">
        <v>48</v>
      </c>
      <c r="I423" s="16" t="str">
        <f t="shared" si="6"/>
        <v>R</v>
      </c>
      <c r="J423" s="167" t="s">
        <v>49</v>
      </c>
      <c r="K423" s="16" t="s">
        <v>50</v>
      </c>
      <c r="L423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23" s="15">
        <f>IF(DataTable[[#This Row],[3x head (H)/tail (T)?]]=DataTable[[#This Row],[then 4th: H/T/B/0]],1,0)</f>
        <v>0</v>
      </c>
      <c r="N423" s="15">
        <f>IF(DataTable[[#This Row],[then 4th: H/T/B/0]]="B",1,0)</f>
        <v>1</v>
      </c>
      <c r="O423" s="14" t="s">
        <v>436</v>
      </c>
      <c r="P423" s="167">
        <v>14</v>
      </c>
      <c r="Q423" s="169" t="s">
        <v>118</v>
      </c>
      <c r="R423" s="16" t="s">
        <v>58</v>
      </c>
      <c r="S423" s="18" t="s">
        <v>65</v>
      </c>
      <c r="T423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423" s="19" t="s">
        <v>86</v>
      </c>
      <c r="V423" s="20" t="s">
        <v>13</v>
      </c>
      <c r="W423" s="20" t="s">
        <v>11</v>
      </c>
      <c r="X423" s="18"/>
      <c r="Y423" s="18">
        <f>IF(DataTable[[#This Row],[explanation1]]="BL",1,IF(DataTable[[#This Row],[explanation2]]="BL",1,IF(DataTable[[#This Row],[explanation1]]="BR",1,IF(DataTable[[#This Row],[explanation2]]="BR",1,0))))</f>
        <v>0</v>
      </c>
      <c r="Z423" s="18">
        <f>IF(DataTable[[#This Row],[explanation1]]="BL",1,IF(DataTable[[#This Row],[explanation2]]="BL",1,0))</f>
        <v>0</v>
      </c>
      <c r="AA423" s="18">
        <f>IF(DataTable[[#This Row],[explanation1]]="WJ",1,IF(DataTable[[#This Row],[explanation2]]="WJ",1,0))</f>
        <v>0</v>
      </c>
      <c r="AB423" s="18">
        <f>IF(DataTable[[#This Row],[explanation1]]="U",1,IF(DataTable[[#This Row],[explanation2]]="U",1,0))</f>
        <v>0</v>
      </c>
      <c r="AC423" s="18">
        <f>IF(DataTable[[#This Row],[explanation1]]="O",1,IF(DataTable[[#This Row],[explanation2]]="O",1,0))</f>
        <v>0</v>
      </c>
      <c r="AD423" s="18">
        <f>IF(DataTable[[#This Row],[explanation1]]="TP",1,IF(DataTable[[#This Row],[explanation2]]="TP",1,0))</f>
        <v>0</v>
      </c>
      <c r="AE423" s="18">
        <f>IF(DataTable[[#This Row],[explanation1]]="WP",1,IF(DataTable[[#This Row],[explanation2]]="WP",1,0))</f>
        <v>1</v>
      </c>
      <c r="AF423" s="18">
        <f>IF(DataTable[[#This Row],[explanation1]]="BR",1,IF(DataTable[[#This Row],[explanation2]]="BR",1,0))</f>
        <v>0</v>
      </c>
      <c r="AG423" s="18">
        <f>IF(DataTable[[#This Row],[explanation1]]="LS",1,IF(DataTable[[#This Row],[explanation2]]="LS",1,0))</f>
        <v>1</v>
      </c>
      <c r="AH423" s="45" t="s">
        <v>435</v>
      </c>
    </row>
    <row r="424" spans="1:34" x14ac:dyDescent="0.2">
      <c r="A424" s="22">
        <v>422</v>
      </c>
      <c r="B424" s="167" t="s">
        <v>68</v>
      </c>
      <c r="C424" s="167" t="s">
        <v>45</v>
      </c>
      <c r="D424" s="167">
        <v>50</v>
      </c>
      <c r="E424" s="23" t="s">
        <v>46</v>
      </c>
      <c r="F424" s="25">
        <v>18</v>
      </c>
      <c r="G424" s="23" t="s">
        <v>47</v>
      </c>
      <c r="H424" s="24" t="s">
        <v>81</v>
      </c>
      <c r="I424" s="25" t="str">
        <f t="shared" si="6"/>
        <v>H5</v>
      </c>
      <c r="J424" s="167" t="s">
        <v>78</v>
      </c>
      <c r="K424" s="25" t="s">
        <v>50</v>
      </c>
      <c r="L424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24" s="24">
        <f>IF(DataTable[[#This Row],[3x head (H)/tail (T)?]]=DataTable[[#This Row],[then 4th: H/T/B/0]],1,0)</f>
        <v>0</v>
      </c>
      <c r="N424" s="24">
        <f>IF(DataTable[[#This Row],[then 4th: H/T/B/0]]="B",1,0)</f>
        <v>1</v>
      </c>
      <c r="O424" s="23" t="s">
        <v>436</v>
      </c>
      <c r="P424" s="167">
        <v>14</v>
      </c>
      <c r="Q424" s="168" t="s">
        <v>118</v>
      </c>
      <c r="R424" s="25" t="s">
        <v>58</v>
      </c>
      <c r="S424" s="27" t="s">
        <v>75</v>
      </c>
      <c r="T424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24" s="28" t="s">
        <v>76</v>
      </c>
      <c r="V424" s="29" t="s">
        <v>7</v>
      </c>
      <c r="W424" s="29"/>
      <c r="X424" s="27"/>
      <c r="Y424" s="27">
        <f>IF(DataTable[[#This Row],[explanation1]]="BL",1,IF(DataTable[[#This Row],[explanation2]]="BL",1,IF(DataTable[[#This Row],[explanation1]]="BR",1,IF(DataTable[[#This Row],[explanation2]]="BR",1,0))))</f>
        <v>0</v>
      </c>
      <c r="Z424" s="18">
        <f>IF(DataTable[[#This Row],[explanation1]]="BL",1,IF(DataTable[[#This Row],[explanation2]]="BL",1,0))</f>
        <v>0</v>
      </c>
      <c r="AA424" s="18">
        <f>IF(DataTable[[#This Row],[explanation1]]="WJ",1,IF(DataTable[[#This Row],[explanation2]]="WJ",1,0))</f>
        <v>1</v>
      </c>
      <c r="AB424" s="18">
        <f>IF(DataTable[[#This Row],[explanation1]]="U",1,IF(DataTable[[#This Row],[explanation2]]="U",1,0))</f>
        <v>0</v>
      </c>
      <c r="AC424" s="18">
        <f>IF(DataTable[[#This Row],[explanation1]]="O",1,IF(DataTable[[#This Row],[explanation2]]="O",1,0))</f>
        <v>0</v>
      </c>
      <c r="AD424" s="18">
        <f>IF(DataTable[[#This Row],[explanation1]]="TP",1,IF(DataTable[[#This Row],[explanation2]]="TP",1,0))</f>
        <v>0</v>
      </c>
      <c r="AE424" s="18">
        <f>IF(DataTable[[#This Row],[explanation1]]="WP",1,IF(DataTable[[#This Row],[explanation2]]="WP",1,0))</f>
        <v>0</v>
      </c>
      <c r="AF424" s="18">
        <f>IF(DataTable[[#This Row],[explanation1]]="BR",1,IF(DataTable[[#This Row],[explanation2]]="BR",1,0))</f>
        <v>0</v>
      </c>
      <c r="AG424" s="18">
        <f>IF(DataTable[[#This Row],[explanation1]]="LS",1,IF(DataTable[[#This Row],[explanation2]]="LS",1,0))</f>
        <v>0</v>
      </c>
      <c r="AH424" s="45" t="s">
        <v>7</v>
      </c>
    </row>
    <row r="425" spans="1:34" x14ac:dyDescent="0.2">
      <c r="A425" s="13">
        <v>423</v>
      </c>
      <c r="B425" s="167" t="s">
        <v>68</v>
      </c>
      <c r="C425" s="167" t="s">
        <v>45</v>
      </c>
      <c r="D425" s="167">
        <v>50</v>
      </c>
      <c r="E425" s="14" t="s">
        <v>58</v>
      </c>
      <c r="F425" s="16">
        <v>68</v>
      </c>
      <c r="G425" s="14" t="s">
        <v>47</v>
      </c>
      <c r="H425" s="15" t="s">
        <v>48</v>
      </c>
      <c r="I425" s="16" t="str">
        <f t="shared" si="6"/>
        <v>R</v>
      </c>
      <c r="J425" s="167" t="s">
        <v>78</v>
      </c>
      <c r="K425" s="16" t="s">
        <v>49</v>
      </c>
      <c r="L425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425" s="15">
        <f>IF(DataTable[[#This Row],[3x head (H)/tail (T)?]]=DataTable[[#This Row],[then 4th: H/T/B/0]],1,0)</f>
        <v>0</v>
      </c>
      <c r="N425" s="15">
        <f>IF(DataTable[[#This Row],[then 4th: H/T/B/0]]="B",1,0)</f>
        <v>0</v>
      </c>
      <c r="O425" s="14" t="s">
        <v>436</v>
      </c>
      <c r="P425" s="167">
        <v>14</v>
      </c>
      <c r="Q425" s="169" t="s">
        <v>118</v>
      </c>
      <c r="R425" s="16" t="s">
        <v>58</v>
      </c>
      <c r="S425" s="18" t="s">
        <v>75</v>
      </c>
      <c r="T425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25" s="19" t="s">
        <v>76</v>
      </c>
      <c r="V425" s="20" t="s">
        <v>6</v>
      </c>
      <c r="W425" s="20"/>
      <c r="X425" s="18"/>
      <c r="Y425" s="18">
        <f>IF(DataTable[[#This Row],[explanation1]]="BL",1,IF(DataTable[[#This Row],[explanation2]]="BL",1,IF(DataTable[[#This Row],[explanation1]]="BR",1,IF(DataTable[[#This Row],[explanation2]]="BR",1,0))))</f>
        <v>1</v>
      </c>
      <c r="Z425" s="18">
        <f>IF(DataTable[[#This Row],[explanation1]]="BL",1,IF(DataTable[[#This Row],[explanation2]]="BL",1,0))</f>
        <v>1</v>
      </c>
      <c r="AA425" s="18">
        <f>IF(DataTable[[#This Row],[explanation1]]="WJ",1,IF(DataTable[[#This Row],[explanation2]]="WJ",1,0))</f>
        <v>0</v>
      </c>
      <c r="AB425" s="18">
        <f>IF(DataTable[[#This Row],[explanation1]]="U",1,IF(DataTable[[#This Row],[explanation2]]="U",1,0))</f>
        <v>0</v>
      </c>
      <c r="AC425" s="18">
        <f>IF(DataTable[[#This Row],[explanation1]]="O",1,IF(DataTable[[#This Row],[explanation2]]="O",1,0))</f>
        <v>0</v>
      </c>
      <c r="AD425" s="18">
        <f>IF(DataTable[[#This Row],[explanation1]]="TP",1,IF(DataTable[[#This Row],[explanation2]]="TP",1,0))</f>
        <v>0</v>
      </c>
      <c r="AE425" s="18">
        <f>IF(DataTable[[#This Row],[explanation1]]="WP",1,IF(DataTable[[#This Row],[explanation2]]="WP",1,0))</f>
        <v>0</v>
      </c>
      <c r="AF425" s="18">
        <f>IF(DataTable[[#This Row],[explanation1]]="BR",1,IF(DataTable[[#This Row],[explanation2]]="BR",1,0))</f>
        <v>0</v>
      </c>
      <c r="AG425" s="18">
        <f>IF(DataTable[[#This Row],[explanation1]]="LS",1,IF(DataTable[[#This Row],[explanation2]]="LS",1,0))</f>
        <v>0</v>
      </c>
      <c r="AH425" s="45" t="s">
        <v>6</v>
      </c>
    </row>
    <row r="426" spans="1:34" x14ac:dyDescent="0.2">
      <c r="A426" s="22">
        <v>424</v>
      </c>
      <c r="B426" s="167" t="s">
        <v>68</v>
      </c>
      <c r="C426" s="167" t="s">
        <v>45</v>
      </c>
      <c r="D426" s="167">
        <v>50</v>
      </c>
      <c r="E426" s="23" t="s">
        <v>46</v>
      </c>
      <c r="F426" s="25">
        <v>21</v>
      </c>
      <c r="G426" s="23" t="s">
        <v>47</v>
      </c>
      <c r="H426" s="24" t="s">
        <v>48</v>
      </c>
      <c r="I426" s="25" t="str">
        <f t="shared" si="6"/>
        <v>R</v>
      </c>
      <c r="J426" s="167" t="s">
        <v>49</v>
      </c>
      <c r="K426" s="25" t="s">
        <v>50</v>
      </c>
      <c r="L426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26" s="24">
        <f>IF(DataTable[[#This Row],[3x head (H)/tail (T)?]]=DataTable[[#This Row],[then 4th: H/T/B/0]],1,0)</f>
        <v>0</v>
      </c>
      <c r="N426" s="24">
        <f>IF(DataTable[[#This Row],[then 4th: H/T/B/0]]="B",1,0)</f>
        <v>1</v>
      </c>
      <c r="O426" s="23" t="s">
        <v>436</v>
      </c>
      <c r="P426" s="167">
        <v>14</v>
      </c>
      <c r="Q426" s="168" t="s">
        <v>118</v>
      </c>
      <c r="R426" s="25" t="s">
        <v>58</v>
      </c>
      <c r="S426" s="27" t="s">
        <v>75</v>
      </c>
      <c r="T426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26" s="28" t="s">
        <v>76</v>
      </c>
      <c r="V426" s="29" t="s">
        <v>6</v>
      </c>
      <c r="W426" s="29"/>
      <c r="X426" s="27"/>
      <c r="Y426" s="27">
        <f>IF(DataTable[[#This Row],[explanation1]]="BL",1,IF(DataTable[[#This Row],[explanation2]]="BL",1,IF(DataTable[[#This Row],[explanation1]]="BR",1,IF(DataTable[[#This Row],[explanation2]]="BR",1,0))))</f>
        <v>1</v>
      </c>
      <c r="Z426" s="18">
        <f>IF(DataTable[[#This Row],[explanation1]]="BL",1,IF(DataTable[[#This Row],[explanation2]]="BL",1,0))</f>
        <v>1</v>
      </c>
      <c r="AA426" s="18">
        <f>IF(DataTable[[#This Row],[explanation1]]="WJ",1,IF(DataTable[[#This Row],[explanation2]]="WJ",1,0))</f>
        <v>0</v>
      </c>
      <c r="AB426" s="18">
        <f>IF(DataTable[[#This Row],[explanation1]]="U",1,IF(DataTable[[#This Row],[explanation2]]="U",1,0))</f>
        <v>0</v>
      </c>
      <c r="AC426" s="18">
        <f>IF(DataTable[[#This Row],[explanation1]]="O",1,IF(DataTable[[#This Row],[explanation2]]="O",1,0))</f>
        <v>0</v>
      </c>
      <c r="AD426" s="18">
        <f>IF(DataTable[[#This Row],[explanation1]]="TP",1,IF(DataTable[[#This Row],[explanation2]]="TP",1,0))</f>
        <v>0</v>
      </c>
      <c r="AE426" s="18">
        <f>IF(DataTable[[#This Row],[explanation1]]="WP",1,IF(DataTable[[#This Row],[explanation2]]="WP",1,0))</f>
        <v>0</v>
      </c>
      <c r="AF426" s="18">
        <f>IF(DataTable[[#This Row],[explanation1]]="BR",1,IF(DataTable[[#This Row],[explanation2]]="BR",1,0))</f>
        <v>0</v>
      </c>
      <c r="AG426" s="18">
        <f>IF(DataTable[[#This Row],[explanation1]]="LS",1,IF(DataTable[[#This Row],[explanation2]]="LS",1,0))</f>
        <v>0</v>
      </c>
      <c r="AH426" s="45" t="s">
        <v>6</v>
      </c>
    </row>
    <row r="427" spans="1:34" x14ac:dyDescent="0.2">
      <c r="A427" s="13">
        <v>425</v>
      </c>
      <c r="B427" s="167" t="s">
        <v>64</v>
      </c>
      <c r="C427" s="167" t="s">
        <v>74</v>
      </c>
      <c r="D427" s="167">
        <v>50</v>
      </c>
      <c r="E427" s="14" t="s">
        <v>58</v>
      </c>
      <c r="F427" s="16">
        <v>37</v>
      </c>
      <c r="G427" s="14" t="s">
        <v>64</v>
      </c>
      <c r="H427" s="15" t="s">
        <v>48</v>
      </c>
      <c r="I427" s="16" t="str">
        <f t="shared" si="6"/>
        <v>M1</v>
      </c>
      <c r="J427" s="167" t="s">
        <v>78</v>
      </c>
      <c r="K427" s="16" t="s">
        <v>78</v>
      </c>
      <c r="L427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27" s="15">
        <f>IF(DataTable[[#This Row],[3x head (H)/tail (T)?]]=DataTable[[#This Row],[then 4th: H/T/B/0]],1,0)</f>
        <v>1</v>
      </c>
      <c r="N427" s="15">
        <f>IF(DataTable[[#This Row],[then 4th: H/T/B/0]]="B",1,0)</f>
        <v>0</v>
      </c>
      <c r="O427" s="14" t="s">
        <v>437</v>
      </c>
      <c r="P427" s="167">
        <v>14</v>
      </c>
      <c r="Q427" s="169" t="s">
        <v>118</v>
      </c>
      <c r="R427" s="16" t="s">
        <v>58</v>
      </c>
      <c r="S427" s="18" t="s">
        <v>54</v>
      </c>
      <c r="T427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427" s="19" t="s">
        <v>116</v>
      </c>
      <c r="V427" s="20" t="s">
        <v>8</v>
      </c>
      <c r="W427" s="20"/>
      <c r="X427" s="18"/>
      <c r="Y427" s="18">
        <f>IF(DataTable[[#This Row],[explanation1]]="BL",1,IF(DataTable[[#This Row],[explanation2]]="BL",1,IF(DataTable[[#This Row],[explanation1]]="BR",1,IF(DataTable[[#This Row],[explanation2]]="BR",1,0))))</f>
        <v>0</v>
      </c>
      <c r="Z427" s="18">
        <f>IF(DataTable[[#This Row],[explanation1]]="BL",1,IF(DataTable[[#This Row],[explanation2]]="BL",1,0))</f>
        <v>0</v>
      </c>
      <c r="AA427" s="18">
        <f>IF(DataTable[[#This Row],[explanation1]]="WJ",1,IF(DataTable[[#This Row],[explanation2]]="WJ",1,0))</f>
        <v>0</v>
      </c>
      <c r="AB427" s="18">
        <f>IF(DataTable[[#This Row],[explanation1]]="U",1,IF(DataTable[[#This Row],[explanation2]]="U",1,0))</f>
        <v>1</v>
      </c>
      <c r="AC427" s="18">
        <f>IF(DataTable[[#This Row],[explanation1]]="O",1,IF(DataTable[[#This Row],[explanation2]]="O",1,0))</f>
        <v>0</v>
      </c>
      <c r="AD427" s="18">
        <f>IF(DataTable[[#This Row],[explanation1]]="TP",1,IF(DataTable[[#This Row],[explanation2]]="TP",1,0))</f>
        <v>0</v>
      </c>
      <c r="AE427" s="18">
        <f>IF(DataTable[[#This Row],[explanation1]]="WP",1,IF(DataTable[[#This Row],[explanation2]]="WP",1,0))</f>
        <v>0</v>
      </c>
      <c r="AF427" s="18">
        <f>IF(DataTable[[#This Row],[explanation1]]="BR",1,IF(DataTable[[#This Row],[explanation2]]="BR",1,0))</f>
        <v>0</v>
      </c>
      <c r="AG427" s="18">
        <f>IF(DataTable[[#This Row],[explanation1]]="LS",1,IF(DataTable[[#This Row],[explanation2]]="LS",1,0))</f>
        <v>0</v>
      </c>
      <c r="AH427" s="45" t="s">
        <v>8</v>
      </c>
    </row>
    <row r="428" spans="1:34" x14ac:dyDescent="0.2">
      <c r="A428" s="22">
        <v>426</v>
      </c>
      <c r="B428" s="167" t="s">
        <v>64</v>
      </c>
      <c r="C428" s="167" t="s">
        <v>74</v>
      </c>
      <c r="D428" s="167">
        <v>50</v>
      </c>
      <c r="E428" s="23" t="s">
        <v>58</v>
      </c>
      <c r="F428" s="25">
        <v>39</v>
      </c>
      <c r="G428" s="23" t="s">
        <v>47</v>
      </c>
      <c r="H428" s="24" t="s">
        <v>48</v>
      </c>
      <c r="I428" s="25" t="str">
        <f t="shared" si="6"/>
        <v>R</v>
      </c>
      <c r="J428" s="167" t="s">
        <v>49</v>
      </c>
      <c r="K428" s="25" t="s">
        <v>78</v>
      </c>
      <c r="L428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428" s="24">
        <f>IF(DataTable[[#This Row],[3x head (H)/tail (T)?]]=DataTable[[#This Row],[then 4th: H/T/B/0]],1,0)</f>
        <v>0</v>
      </c>
      <c r="N428" s="24">
        <f>IF(DataTable[[#This Row],[then 4th: H/T/B/0]]="B",1,0)</f>
        <v>0</v>
      </c>
      <c r="O428" s="14" t="s">
        <v>437</v>
      </c>
      <c r="P428" s="167">
        <v>14</v>
      </c>
      <c r="Q428" s="168" t="s">
        <v>118</v>
      </c>
      <c r="R428" s="25" t="s">
        <v>58</v>
      </c>
      <c r="S428" s="27" t="s">
        <v>65</v>
      </c>
      <c r="T428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428" s="28" t="s">
        <v>86</v>
      </c>
      <c r="V428" s="29" t="s">
        <v>6</v>
      </c>
      <c r="W428" s="29"/>
      <c r="X428" s="27"/>
      <c r="Y428" s="27">
        <f>IF(DataTable[[#This Row],[explanation1]]="BL",1,IF(DataTable[[#This Row],[explanation2]]="BL",1,IF(DataTable[[#This Row],[explanation1]]="BR",1,IF(DataTable[[#This Row],[explanation2]]="BR",1,0))))</f>
        <v>1</v>
      </c>
      <c r="Z428" s="18">
        <f>IF(DataTable[[#This Row],[explanation1]]="BL",1,IF(DataTable[[#This Row],[explanation2]]="BL",1,0))</f>
        <v>1</v>
      </c>
      <c r="AA428" s="18">
        <f>IF(DataTable[[#This Row],[explanation1]]="WJ",1,IF(DataTable[[#This Row],[explanation2]]="WJ",1,0))</f>
        <v>0</v>
      </c>
      <c r="AB428" s="18">
        <f>IF(DataTable[[#This Row],[explanation1]]="U",1,IF(DataTable[[#This Row],[explanation2]]="U",1,0))</f>
        <v>0</v>
      </c>
      <c r="AC428" s="18">
        <f>IF(DataTable[[#This Row],[explanation1]]="O",1,IF(DataTable[[#This Row],[explanation2]]="O",1,0))</f>
        <v>0</v>
      </c>
      <c r="AD428" s="18">
        <f>IF(DataTable[[#This Row],[explanation1]]="TP",1,IF(DataTable[[#This Row],[explanation2]]="TP",1,0))</f>
        <v>0</v>
      </c>
      <c r="AE428" s="18">
        <f>IF(DataTable[[#This Row],[explanation1]]="WP",1,IF(DataTable[[#This Row],[explanation2]]="WP",1,0))</f>
        <v>0</v>
      </c>
      <c r="AF428" s="18">
        <f>IF(DataTable[[#This Row],[explanation1]]="BR",1,IF(DataTable[[#This Row],[explanation2]]="BR",1,0))</f>
        <v>0</v>
      </c>
      <c r="AG428" s="18">
        <f>IF(DataTable[[#This Row],[explanation1]]="LS",1,IF(DataTable[[#This Row],[explanation2]]="LS",1,0))</f>
        <v>0</v>
      </c>
      <c r="AH428" s="45" t="s">
        <v>6</v>
      </c>
    </row>
    <row r="429" spans="1:34" x14ac:dyDescent="0.2">
      <c r="A429" s="13">
        <v>427</v>
      </c>
      <c r="B429" s="167" t="s">
        <v>64</v>
      </c>
      <c r="C429" s="167" t="s">
        <v>45</v>
      </c>
      <c r="D429" s="167">
        <v>50</v>
      </c>
      <c r="E429" s="14" t="s">
        <v>46</v>
      </c>
      <c r="F429" s="16">
        <v>34</v>
      </c>
      <c r="G429" s="14" t="s">
        <v>47</v>
      </c>
      <c r="H429" s="15" t="s">
        <v>48</v>
      </c>
      <c r="I429" s="16" t="str">
        <f t="shared" si="6"/>
        <v>R</v>
      </c>
      <c r="J429" s="167" t="s">
        <v>49</v>
      </c>
      <c r="K429" s="16" t="s">
        <v>78</v>
      </c>
      <c r="L429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429" s="15">
        <f>IF(DataTable[[#This Row],[3x head (H)/tail (T)?]]=DataTable[[#This Row],[then 4th: H/T/B/0]],1,0)</f>
        <v>0</v>
      </c>
      <c r="N429" s="15">
        <f>IF(DataTable[[#This Row],[then 4th: H/T/B/0]]="B",1,0)</f>
        <v>0</v>
      </c>
      <c r="O429" s="14" t="s">
        <v>437</v>
      </c>
      <c r="P429" s="167">
        <v>14</v>
      </c>
      <c r="Q429" s="169" t="s">
        <v>118</v>
      </c>
      <c r="R429" s="16" t="s">
        <v>58</v>
      </c>
      <c r="S429" s="18" t="s">
        <v>75</v>
      </c>
      <c r="T429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29" s="19" t="s">
        <v>76</v>
      </c>
      <c r="V429" s="20" t="s">
        <v>6</v>
      </c>
      <c r="W429" s="20"/>
      <c r="X429" s="18"/>
      <c r="Y429" s="18">
        <f>IF(DataTable[[#This Row],[explanation1]]="BL",1,IF(DataTable[[#This Row],[explanation2]]="BL",1,IF(DataTable[[#This Row],[explanation1]]="BR",1,IF(DataTable[[#This Row],[explanation2]]="BR",1,0))))</f>
        <v>1</v>
      </c>
      <c r="Z429" s="18">
        <f>IF(DataTable[[#This Row],[explanation1]]="BL",1,IF(DataTable[[#This Row],[explanation2]]="BL",1,0))</f>
        <v>1</v>
      </c>
      <c r="AA429" s="18">
        <f>IF(DataTable[[#This Row],[explanation1]]="WJ",1,IF(DataTable[[#This Row],[explanation2]]="WJ",1,0))</f>
        <v>0</v>
      </c>
      <c r="AB429" s="18">
        <f>IF(DataTable[[#This Row],[explanation1]]="U",1,IF(DataTable[[#This Row],[explanation2]]="U",1,0))</f>
        <v>0</v>
      </c>
      <c r="AC429" s="18">
        <f>IF(DataTable[[#This Row],[explanation1]]="O",1,IF(DataTable[[#This Row],[explanation2]]="O",1,0))</f>
        <v>0</v>
      </c>
      <c r="AD429" s="18">
        <f>IF(DataTable[[#This Row],[explanation1]]="TP",1,IF(DataTable[[#This Row],[explanation2]]="TP",1,0))</f>
        <v>0</v>
      </c>
      <c r="AE429" s="18">
        <f>IF(DataTable[[#This Row],[explanation1]]="WP",1,IF(DataTable[[#This Row],[explanation2]]="WP",1,0))</f>
        <v>0</v>
      </c>
      <c r="AF429" s="18">
        <f>IF(DataTable[[#This Row],[explanation1]]="BR",1,IF(DataTable[[#This Row],[explanation2]]="BR",1,0))</f>
        <v>0</v>
      </c>
      <c r="AG429" s="18">
        <f>IF(DataTable[[#This Row],[explanation1]]="LS",1,IF(DataTable[[#This Row],[explanation2]]="LS",1,0))</f>
        <v>0</v>
      </c>
      <c r="AH429" s="45" t="s">
        <v>6</v>
      </c>
    </row>
    <row r="430" spans="1:34" x14ac:dyDescent="0.2">
      <c r="A430" s="22">
        <v>428</v>
      </c>
      <c r="B430" s="167" t="s">
        <v>64</v>
      </c>
      <c r="C430" s="167" t="s">
        <v>45</v>
      </c>
      <c r="D430" s="167">
        <v>50</v>
      </c>
      <c r="E430" s="23" t="s">
        <v>58</v>
      </c>
      <c r="F430" s="25">
        <v>40</v>
      </c>
      <c r="G430" s="23" t="s">
        <v>64</v>
      </c>
      <c r="H430" s="24" t="s">
        <v>48</v>
      </c>
      <c r="I430" s="25" t="str">
        <f t="shared" si="6"/>
        <v>M1</v>
      </c>
      <c r="J430" s="167" t="s">
        <v>78</v>
      </c>
      <c r="K430" s="25" t="s">
        <v>50</v>
      </c>
      <c r="L430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30" s="24">
        <f>IF(DataTable[[#This Row],[3x head (H)/tail (T)?]]=DataTable[[#This Row],[then 4th: H/T/B/0]],1,0)</f>
        <v>0</v>
      </c>
      <c r="N430" s="24">
        <f>IF(DataTable[[#This Row],[then 4th: H/T/B/0]]="B",1,0)</f>
        <v>1</v>
      </c>
      <c r="O430" s="14" t="s">
        <v>437</v>
      </c>
      <c r="P430" s="167">
        <v>14</v>
      </c>
      <c r="Q430" s="168" t="s">
        <v>118</v>
      </c>
      <c r="R430" s="25" t="s">
        <v>58</v>
      </c>
      <c r="S430" s="27" t="s">
        <v>75</v>
      </c>
      <c r="T430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30" s="28" t="s">
        <v>76</v>
      </c>
      <c r="V430" s="29" t="s">
        <v>7</v>
      </c>
      <c r="W430" s="29"/>
      <c r="X430" s="27"/>
      <c r="Y430" s="27">
        <f>IF(DataTable[[#This Row],[explanation1]]="BL",1,IF(DataTable[[#This Row],[explanation2]]="BL",1,IF(DataTable[[#This Row],[explanation1]]="BR",1,IF(DataTable[[#This Row],[explanation2]]="BR",1,0))))</f>
        <v>0</v>
      </c>
      <c r="Z430" s="18">
        <f>IF(DataTable[[#This Row],[explanation1]]="BL",1,IF(DataTable[[#This Row],[explanation2]]="BL",1,0))</f>
        <v>0</v>
      </c>
      <c r="AA430" s="18">
        <f>IF(DataTable[[#This Row],[explanation1]]="WJ",1,IF(DataTable[[#This Row],[explanation2]]="WJ",1,0))</f>
        <v>1</v>
      </c>
      <c r="AB430" s="18">
        <f>IF(DataTable[[#This Row],[explanation1]]="U",1,IF(DataTable[[#This Row],[explanation2]]="U",1,0))</f>
        <v>0</v>
      </c>
      <c r="AC430" s="18">
        <f>IF(DataTable[[#This Row],[explanation1]]="O",1,IF(DataTable[[#This Row],[explanation2]]="O",1,0))</f>
        <v>0</v>
      </c>
      <c r="AD430" s="18">
        <f>IF(DataTable[[#This Row],[explanation1]]="TP",1,IF(DataTable[[#This Row],[explanation2]]="TP",1,0))</f>
        <v>0</v>
      </c>
      <c r="AE430" s="18">
        <f>IF(DataTable[[#This Row],[explanation1]]="WP",1,IF(DataTable[[#This Row],[explanation2]]="WP",1,0))</f>
        <v>0</v>
      </c>
      <c r="AF430" s="18">
        <f>IF(DataTable[[#This Row],[explanation1]]="BR",1,IF(DataTable[[#This Row],[explanation2]]="BR",1,0))</f>
        <v>0</v>
      </c>
      <c r="AG430" s="18">
        <f>IF(DataTable[[#This Row],[explanation1]]="LS",1,IF(DataTable[[#This Row],[explanation2]]="LS",1,0))</f>
        <v>0</v>
      </c>
      <c r="AH430" s="45" t="s">
        <v>7</v>
      </c>
    </row>
    <row r="431" spans="1:34" x14ac:dyDescent="0.2">
      <c r="A431" s="13">
        <v>429</v>
      </c>
      <c r="B431" s="167" t="s">
        <v>64</v>
      </c>
      <c r="C431" s="167" t="s">
        <v>74</v>
      </c>
      <c r="D431" s="167">
        <v>1</v>
      </c>
      <c r="E431" s="14" t="s">
        <v>58</v>
      </c>
      <c r="F431" s="16">
        <v>65</v>
      </c>
      <c r="G431" s="14" t="s">
        <v>64</v>
      </c>
      <c r="H431" s="15" t="s">
        <v>81</v>
      </c>
      <c r="I431" s="16" t="str">
        <f t="shared" si="6"/>
        <v>R</v>
      </c>
      <c r="J431" s="167" t="s">
        <v>78</v>
      </c>
      <c r="K431" s="16" t="s">
        <v>49</v>
      </c>
      <c r="L431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431" s="15">
        <f>IF(DataTable[[#This Row],[3x head (H)/tail (T)?]]=DataTable[[#This Row],[then 4th: H/T/B/0]],1,0)</f>
        <v>0</v>
      </c>
      <c r="N431" s="15">
        <f>IF(DataTable[[#This Row],[then 4th: H/T/B/0]]="B",1,0)</f>
        <v>0</v>
      </c>
      <c r="O431" s="14" t="s">
        <v>437</v>
      </c>
      <c r="P431" s="167">
        <v>14</v>
      </c>
      <c r="Q431" s="169" t="s">
        <v>118</v>
      </c>
      <c r="R431" s="16" t="s">
        <v>58</v>
      </c>
      <c r="S431" s="18" t="s">
        <v>75</v>
      </c>
      <c r="T431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31" s="19" t="s">
        <v>76</v>
      </c>
      <c r="V431" s="20" t="s">
        <v>7</v>
      </c>
      <c r="W431" s="20"/>
      <c r="X431" s="18"/>
      <c r="Y431" s="18">
        <f>IF(DataTable[[#This Row],[explanation1]]="BL",1,IF(DataTable[[#This Row],[explanation2]]="BL",1,IF(DataTable[[#This Row],[explanation1]]="BR",1,IF(DataTable[[#This Row],[explanation2]]="BR",1,0))))</f>
        <v>0</v>
      </c>
      <c r="Z431" s="18">
        <f>IF(DataTable[[#This Row],[explanation1]]="BL",1,IF(DataTable[[#This Row],[explanation2]]="BL",1,0))</f>
        <v>0</v>
      </c>
      <c r="AA431" s="18">
        <f>IF(DataTable[[#This Row],[explanation1]]="WJ",1,IF(DataTable[[#This Row],[explanation2]]="WJ",1,0))</f>
        <v>1</v>
      </c>
      <c r="AB431" s="18">
        <f>IF(DataTable[[#This Row],[explanation1]]="U",1,IF(DataTable[[#This Row],[explanation2]]="U",1,0))</f>
        <v>0</v>
      </c>
      <c r="AC431" s="18">
        <f>IF(DataTable[[#This Row],[explanation1]]="O",1,IF(DataTable[[#This Row],[explanation2]]="O",1,0))</f>
        <v>0</v>
      </c>
      <c r="AD431" s="18">
        <f>IF(DataTable[[#This Row],[explanation1]]="TP",1,IF(DataTable[[#This Row],[explanation2]]="TP",1,0))</f>
        <v>0</v>
      </c>
      <c r="AE431" s="18">
        <f>IF(DataTable[[#This Row],[explanation1]]="WP",1,IF(DataTable[[#This Row],[explanation2]]="WP",1,0))</f>
        <v>0</v>
      </c>
      <c r="AF431" s="18">
        <f>IF(DataTable[[#This Row],[explanation1]]="BR",1,IF(DataTable[[#This Row],[explanation2]]="BR",1,0))</f>
        <v>0</v>
      </c>
      <c r="AG431" s="18">
        <f>IF(DataTable[[#This Row],[explanation1]]="LS",1,IF(DataTable[[#This Row],[explanation2]]="LS",1,0))</f>
        <v>0</v>
      </c>
      <c r="AH431" s="45" t="s">
        <v>7</v>
      </c>
    </row>
    <row r="432" spans="1:34" x14ac:dyDescent="0.2">
      <c r="A432" s="22">
        <v>430</v>
      </c>
      <c r="B432" s="167" t="s">
        <v>64</v>
      </c>
      <c r="C432" s="167" t="s">
        <v>74</v>
      </c>
      <c r="D432" s="167">
        <v>1</v>
      </c>
      <c r="E432" s="23" t="s">
        <v>46</v>
      </c>
      <c r="F432" s="25">
        <v>22</v>
      </c>
      <c r="G432" s="23" t="s">
        <v>64</v>
      </c>
      <c r="H432" s="24" t="s">
        <v>48</v>
      </c>
      <c r="I432" s="25" t="str">
        <f t="shared" si="6"/>
        <v>M1</v>
      </c>
      <c r="J432" s="167" t="s">
        <v>49</v>
      </c>
      <c r="K432" s="25" t="s">
        <v>50</v>
      </c>
      <c r="L432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32" s="24">
        <f>IF(DataTable[[#This Row],[3x head (H)/tail (T)?]]=DataTable[[#This Row],[then 4th: H/T/B/0]],1,0)</f>
        <v>0</v>
      </c>
      <c r="N432" s="24">
        <f>IF(DataTable[[#This Row],[then 4th: H/T/B/0]]="B",1,0)</f>
        <v>1</v>
      </c>
      <c r="O432" s="14" t="s">
        <v>437</v>
      </c>
      <c r="P432" s="167">
        <v>14</v>
      </c>
      <c r="Q432" s="168" t="s">
        <v>118</v>
      </c>
      <c r="R432" s="25" t="s">
        <v>58</v>
      </c>
      <c r="S432" s="27"/>
      <c r="T432" s="18" t="b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0</v>
      </c>
      <c r="U432" s="28">
        <v>0</v>
      </c>
      <c r="V432" s="29" t="s">
        <v>9</v>
      </c>
      <c r="W432" s="29"/>
      <c r="X432" s="27"/>
      <c r="Y432" s="27">
        <f>IF(DataTable[[#This Row],[explanation1]]="BL",1,IF(DataTable[[#This Row],[explanation2]]="BL",1,IF(DataTable[[#This Row],[explanation1]]="BR",1,IF(DataTable[[#This Row],[explanation2]]="BR",1,0))))</f>
        <v>0</v>
      </c>
      <c r="Z432" s="18">
        <f>IF(DataTable[[#This Row],[explanation1]]="BL",1,IF(DataTable[[#This Row],[explanation2]]="BL",1,0))</f>
        <v>0</v>
      </c>
      <c r="AA432" s="18">
        <f>IF(DataTable[[#This Row],[explanation1]]="WJ",1,IF(DataTable[[#This Row],[explanation2]]="WJ",1,0))</f>
        <v>0</v>
      </c>
      <c r="AB432" s="18">
        <f>IF(DataTable[[#This Row],[explanation1]]="U",1,IF(DataTable[[#This Row],[explanation2]]="U",1,0))</f>
        <v>0</v>
      </c>
      <c r="AC432" s="18">
        <f>IF(DataTable[[#This Row],[explanation1]]="O",1,IF(DataTable[[#This Row],[explanation2]]="O",1,0))</f>
        <v>1</v>
      </c>
      <c r="AD432" s="18">
        <f>IF(DataTable[[#This Row],[explanation1]]="TP",1,IF(DataTable[[#This Row],[explanation2]]="TP",1,0))</f>
        <v>0</v>
      </c>
      <c r="AE432" s="18">
        <f>IF(DataTable[[#This Row],[explanation1]]="WP",1,IF(DataTable[[#This Row],[explanation2]]="WP",1,0))</f>
        <v>0</v>
      </c>
      <c r="AF432" s="18">
        <f>IF(DataTable[[#This Row],[explanation1]]="BR",1,IF(DataTable[[#This Row],[explanation2]]="BR",1,0))</f>
        <v>0</v>
      </c>
      <c r="AG432" s="18">
        <f>IF(DataTable[[#This Row],[explanation1]]="LS",1,IF(DataTable[[#This Row],[explanation2]]="LS",1,0))</f>
        <v>0</v>
      </c>
      <c r="AH432" s="45" t="s">
        <v>9</v>
      </c>
    </row>
    <row r="433" spans="1:34" x14ac:dyDescent="0.2">
      <c r="A433" s="13">
        <v>431</v>
      </c>
      <c r="B433" s="167" t="s">
        <v>64</v>
      </c>
      <c r="C433" s="167" t="s">
        <v>74</v>
      </c>
      <c r="D433" s="167">
        <v>1</v>
      </c>
      <c r="E433" s="14" t="s">
        <v>58</v>
      </c>
      <c r="F433" s="16">
        <v>32</v>
      </c>
      <c r="G433" s="14" t="s">
        <v>64</v>
      </c>
      <c r="H433" s="15" t="s">
        <v>48</v>
      </c>
      <c r="I433" s="16" t="str">
        <f t="shared" si="6"/>
        <v>M1</v>
      </c>
      <c r="J433" s="167" t="s">
        <v>49</v>
      </c>
      <c r="K433" s="16" t="s">
        <v>50</v>
      </c>
      <c r="L433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33" s="15">
        <f>IF(DataTable[[#This Row],[3x head (H)/tail (T)?]]=DataTable[[#This Row],[then 4th: H/T/B/0]],1,0)</f>
        <v>0</v>
      </c>
      <c r="N433" s="15">
        <f>IF(DataTable[[#This Row],[then 4th: H/T/B/0]]="B",1,0)</f>
        <v>1</v>
      </c>
      <c r="O433" s="14" t="s">
        <v>437</v>
      </c>
      <c r="P433" s="167">
        <v>14</v>
      </c>
      <c r="Q433" s="169" t="s">
        <v>118</v>
      </c>
      <c r="R433" s="16" t="s">
        <v>58</v>
      </c>
      <c r="S433" s="18" t="s">
        <v>75</v>
      </c>
      <c r="T433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33" s="19" t="s">
        <v>76</v>
      </c>
      <c r="V433" s="20" t="s">
        <v>9</v>
      </c>
      <c r="W433" s="20"/>
      <c r="X433" s="18"/>
      <c r="Y433" s="18">
        <f>IF(DataTable[[#This Row],[explanation1]]="BL",1,IF(DataTable[[#This Row],[explanation2]]="BL",1,IF(DataTable[[#This Row],[explanation1]]="BR",1,IF(DataTable[[#This Row],[explanation2]]="BR",1,0))))</f>
        <v>0</v>
      </c>
      <c r="Z433" s="18">
        <f>IF(DataTable[[#This Row],[explanation1]]="BL",1,IF(DataTable[[#This Row],[explanation2]]="BL",1,0))</f>
        <v>0</v>
      </c>
      <c r="AA433" s="18">
        <f>IF(DataTable[[#This Row],[explanation1]]="WJ",1,IF(DataTable[[#This Row],[explanation2]]="WJ",1,0))</f>
        <v>0</v>
      </c>
      <c r="AB433" s="18">
        <f>IF(DataTable[[#This Row],[explanation1]]="U",1,IF(DataTable[[#This Row],[explanation2]]="U",1,0))</f>
        <v>0</v>
      </c>
      <c r="AC433" s="18">
        <f>IF(DataTable[[#This Row],[explanation1]]="O",1,IF(DataTable[[#This Row],[explanation2]]="O",1,0))</f>
        <v>1</v>
      </c>
      <c r="AD433" s="18">
        <f>IF(DataTable[[#This Row],[explanation1]]="TP",1,IF(DataTable[[#This Row],[explanation2]]="TP",1,0))</f>
        <v>0</v>
      </c>
      <c r="AE433" s="18">
        <f>IF(DataTable[[#This Row],[explanation1]]="WP",1,IF(DataTable[[#This Row],[explanation2]]="WP",1,0))</f>
        <v>0</v>
      </c>
      <c r="AF433" s="18">
        <f>IF(DataTable[[#This Row],[explanation1]]="BR",1,IF(DataTable[[#This Row],[explanation2]]="BR",1,0))</f>
        <v>0</v>
      </c>
      <c r="AG433" s="18">
        <f>IF(DataTable[[#This Row],[explanation1]]="LS",1,IF(DataTable[[#This Row],[explanation2]]="LS",1,0))</f>
        <v>0</v>
      </c>
      <c r="AH433" s="45" t="s">
        <v>9</v>
      </c>
    </row>
    <row r="434" spans="1:34" x14ac:dyDescent="0.2">
      <c r="A434" s="22">
        <v>432</v>
      </c>
      <c r="B434" s="167" t="s">
        <v>64</v>
      </c>
      <c r="C434" s="167" t="s">
        <v>45</v>
      </c>
      <c r="D434" s="167">
        <v>1</v>
      </c>
      <c r="E434" s="23" t="s">
        <v>46</v>
      </c>
      <c r="F434" s="25">
        <v>62</v>
      </c>
      <c r="G434" s="23" t="s">
        <v>47</v>
      </c>
      <c r="H434" s="24" t="s">
        <v>48</v>
      </c>
      <c r="I434" s="25" t="str">
        <f t="shared" si="6"/>
        <v>R</v>
      </c>
      <c r="J434" s="167" t="s">
        <v>49</v>
      </c>
      <c r="K434" s="25" t="s">
        <v>50</v>
      </c>
      <c r="L434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34" s="24">
        <f>IF(DataTable[[#This Row],[3x head (H)/tail (T)?]]=DataTable[[#This Row],[then 4th: H/T/B/0]],1,0)</f>
        <v>0</v>
      </c>
      <c r="N434" s="24">
        <f>IF(DataTable[[#This Row],[then 4th: H/T/B/0]]="B",1,0)</f>
        <v>1</v>
      </c>
      <c r="O434" s="14" t="s">
        <v>437</v>
      </c>
      <c r="P434" s="167">
        <v>14</v>
      </c>
      <c r="Q434" s="168" t="s">
        <v>118</v>
      </c>
      <c r="R434" s="25" t="s">
        <v>58</v>
      </c>
      <c r="S434" s="27" t="s">
        <v>103</v>
      </c>
      <c r="T434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5</v>
      </c>
      <c r="U434" s="28" t="s">
        <v>248</v>
      </c>
      <c r="V434" s="29" t="s">
        <v>11</v>
      </c>
      <c r="W434" s="29"/>
      <c r="X434" s="27"/>
      <c r="Y434" s="27">
        <f>IF(DataTable[[#This Row],[explanation1]]="BL",1,IF(DataTable[[#This Row],[explanation2]]="BL",1,IF(DataTable[[#This Row],[explanation1]]="BR",1,IF(DataTable[[#This Row],[explanation2]]="BR",1,0))))</f>
        <v>0</v>
      </c>
      <c r="Z434" s="18">
        <f>IF(DataTable[[#This Row],[explanation1]]="BL",1,IF(DataTable[[#This Row],[explanation2]]="BL",1,0))</f>
        <v>0</v>
      </c>
      <c r="AA434" s="18">
        <f>IF(DataTable[[#This Row],[explanation1]]="WJ",1,IF(DataTable[[#This Row],[explanation2]]="WJ",1,0))</f>
        <v>0</v>
      </c>
      <c r="AB434" s="18">
        <f>IF(DataTable[[#This Row],[explanation1]]="U",1,IF(DataTable[[#This Row],[explanation2]]="U",1,0))</f>
        <v>0</v>
      </c>
      <c r="AC434" s="18">
        <f>IF(DataTable[[#This Row],[explanation1]]="O",1,IF(DataTable[[#This Row],[explanation2]]="O",1,0))</f>
        <v>0</v>
      </c>
      <c r="AD434" s="18">
        <f>IF(DataTable[[#This Row],[explanation1]]="TP",1,IF(DataTable[[#This Row],[explanation2]]="TP",1,0))</f>
        <v>0</v>
      </c>
      <c r="AE434" s="18">
        <f>IF(DataTable[[#This Row],[explanation1]]="WP",1,IF(DataTable[[#This Row],[explanation2]]="WP",1,0))</f>
        <v>1</v>
      </c>
      <c r="AF434" s="18">
        <f>IF(DataTable[[#This Row],[explanation1]]="BR",1,IF(DataTable[[#This Row],[explanation2]]="BR",1,0))</f>
        <v>0</v>
      </c>
      <c r="AG434" s="18">
        <f>IF(DataTable[[#This Row],[explanation1]]="LS",1,IF(DataTable[[#This Row],[explanation2]]="LS",1,0))</f>
        <v>0</v>
      </c>
      <c r="AH434" s="45" t="s">
        <v>11</v>
      </c>
    </row>
    <row r="435" spans="1:34" x14ac:dyDescent="0.2">
      <c r="A435" s="13">
        <v>433</v>
      </c>
      <c r="B435" s="167" t="s">
        <v>70</v>
      </c>
      <c r="C435" s="167" t="s">
        <v>74</v>
      </c>
      <c r="D435" s="167">
        <v>1</v>
      </c>
      <c r="E435" s="14" t="s">
        <v>46</v>
      </c>
      <c r="F435" s="16">
        <v>63</v>
      </c>
      <c r="G435" s="14" t="s">
        <v>47</v>
      </c>
      <c r="H435" s="15" t="s">
        <v>48</v>
      </c>
      <c r="I435" s="16" t="str">
        <f t="shared" si="6"/>
        <v>R</v>
      </c>
      <c r="J435" s="167" t="s">
        <v>49</v>
      </c>
      <c r="K435" s="16" t="s">
        <v>49</v>
      </c>
      <c r="L435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35" s="15">
        <f>IF(DataTable[[#This Row],[3x head (H)/tail (T)?]]=DataTable[[#This Row],[then 4th: H/T/B/0]],1,0)</f>
        <v>1</v>
      </c>
      <c r="N435" s="15">
        <f>IF(DataTable[[#This Row],[then 4th: H/T/B/0]]="B",1,0)</f>
        <v>0</v>
      </c>
      <c r="O435" s="14" t="s">
        <v>437</v>
      </c>
      <c r="P435" s="167">
        <v>14</v>
      </c>
      <c r="Q435" s="169" t="s">
        <v>118</v>
      </c>
      <c r="R435" s="16" t="s">
        <v>58</v>
      </c>
      <c r="S435" s="18" t="s">
        <v>75</v>
      </c>
      <c r="T435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35" s="19" t="s">
        <v>76</v>
      </c>
      <c r="V435" s="20" t="s">
        <v>9</v>
      </c>
      <c r="W435" s="20"/>
      <c r="X435" s="18"/>
      <c r="Y435" s="18">
        <f>IF(DataTable[[#This Row],[explanation1]]="BL",1,IF(DataTable[[#This Row],[explanation2]]="BL",1,IF(DataTable[[#This Row],[explanation1]]="BR",1,IF(DataTable[[#This Row],[explanation2]]="BR",1,0))))</f>
        <v>0</v>
      </c>
      <c r="Z435" s="18">
        <f>IF(DataTable[[#This Row],[explanation1]]="BL",1,IF(DataTable[[#This Row],[explanation2]]="BL",1,0))</f>
        <v>0</v>
      </c>
      <c r="AA435" s="18">
        <f>IF(DataTable[[#This Row],[explanation1]]="WJ",1,IF(DataTable[[#This Row],[explanation2]]="WJ",1,0))</f>
        <v>0</v>
      </c>
      <c r="AB435" s="18">
        <f>IF(DataTable[[#This Row],[explanation1]]="U",1,IF(DataTable[[#This Row],[explanation2]]="U",1,0))</f>
        <v>0</v>
      </c>
      <c r="AC435" s="18">
        <f>IF(DataTable[[#This Row],[explanation1]]="O",1,IF(DataTable[[#This Row],[explanation2]]="O",1,0))</f>
        <v>1</v>
      </c>
      <c r="AD435" s="18">
        <f>IF(DataTable[[#This Row],[explanation1]]="TP",1,IF(DataTable[[#This Row],[explanation2]]="TP",1,0))</f>
        <v>0</v>
      </c>
      <c r="AE435" s="18">
        <f>IF(DataTable[[#This Row],[explanation1]]="WP",1,IF(DataTable[[#This Row],[explanation2]]="WP",1,0))</f>
        <v>0</v>
      </c>
      <c r="AF435" s="18">
        <f>IF(DataTable[[#This Row],[explanation1]]="BR",1,IF(DataTable[[#This Row],[explanation2]]="BR",1,0))</f>
        <v>0</v>
      </c>
      <c r="AG435" s="18">
        <f>IF(DataTable[[#This Row],[explanation1]]="LS",1,IF(DataTable[[#This Row],[explanation2]]="LS",1,0))</f>
        <v>0</v>
      </c>
      <c r="AH435" s="45" t="s">
        <v>9</v>
      </c>
    </row>
    <row r="436" spans="1:34" x14ac:dyDescent="0.2">
      <c r="A436" s="22">
        <v>434</v>
      </c>
      <c r="B436" s="167" t="s">
        <v>70</v>
      </c>
      <c r="C436" s="167" t="s">
        <v>45</v>
      </c>
      <c r="D436" s="167">
        <v>1</v>
      </c>
      <c r="E436" s="23" t="s">
        <v>46</v>
      </c>
      <c r="F436" s="25">
        <v>31</v>
      </c>
      <c r="G436" s="23" t="s">
        <v>70</v>
      </c>
      <c r="H436" s="24" t="s">
        <v>48</v>
      </c>
      <c r="I436" s="25" t="str">
        <f t="shared" si="6"/>
        <v>M5</v>
      </c>
      <c r="J436" s="167" t="s">
        <v>78</v>
      </c>
      <c r="K436" s="25" t="s">
        <v>49</v>
      </c>
      <c r="L436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436" s="24">
        <f>IF(DataTable[[#This Row],[3x head (H)/tail (T)?]]=DataTable[[#This Row],[then 4th: H/T/B/0]],1,0)</f>
        <v>0</v>
      </c>
      <c r="N436" s="24">
        <f>IF(DataTable[[#This Row],[then 4th: H/T/B/0]]="B",1,0)</f>
        <v>0</v>
      </c>
      <c r="O436" s="14" t="s">
        <v>437</v>
      </c>
      <c r="P436" s="167">
        <v>14</v>
      </c>
      <c r="Q436" s="168" t="s">
        <v>118</v>
      </c>
      <c r="R436" s="25" t="s">
        <v>58</v>
      </c>
      <c r="S436" s="27" t="s">
        <v>75</v>
      </c>
      <c r="T436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36" s="28" t="s">
        <v>76</v>
      </c>
      <c r="V436" s="29" t="s">
        <v>9</v>
      </c>
      <c r="W436" s="29"/>
      <c r="X436" s="27"/>
      <c r="Y436" s="27">
        <f>IF(DataTable[[#This Row],[explanation1]]="BL",1,IF(DataTable[[#This Row],[explanation2]]="BL",1,IF(DataTable[[#This Row],[explanation1]]="BR",1,IF(DataTable[[#This Row],[explanation2]]="BR",1,0))))</f>
        <v>0</v>
      </c>
      <c r="Z436" s="18">
        <f>IF(DataTable[[#This Row],[explanation1]]="BL",1,IF(DataTable[[#This Row],[explanation2]]="BL",1,0))</f>
        <v>0</v>
      </c>
      <c r="AA436" s="18">
        <f>IF(DataTable[[#This Row],[explanation1]]="WJ",1,IF(DataTable[[#This Row],[explanation2]]="WJ",1,0))</f>
        <v>0</v>
      </c>
      <c r="AB436" s="18">
        <f>IF(DataTable[[#This Row],[explanation1]]="U",1,IF(DataTable[[#This Row],[explanation2]]="U",1,0))</f>
        <v>0</v>
      </c>
      <c r="AC436" s="18">
        <f>IF(DataTable[[#This Row],[explanation1]]="O",1,IF(DataTable[[#This Row],[explanation2]]="O",1,0))</f>
        <v>1</v>
      </c>
      <c r="AD436" s="18">
        <f>IF(DataTable[[#This Row],[explanation1]]="TP",1,IF(DataTable[[#This Row],[explanation2]]="TP",1,0))</f>
        <v>0</v>
      </c>
      <c r="AE436" s="18">
        <f>IF(DataTable[[#This Row],[explanation1]]="WP",1,IF(DataTable[[#This Row],[explanation2]]="WP",1,0))</f>
        <v>0</v>
      </c>
      <c r="AF436" s="18">
        <f>IF(DataTable[[#This Row],[explanation1]]="BR",1,IF(DataTable[[#This Row],[explanation2]]="BR",1,0))</f>
        <v>0</v>
      </c>
      <c r="AG436" s="18">
        <f>IF(DataTable[[#This Row],[explanation1]]="LS",1,IF(DataTable[[#This Row],[explanation2]]="LS",1,0))</f>
        <v>0</v>
      </c>
      <c r="AH436" s="45" t="s">
        <v>9</v>
      </c>
    </row>
    <row r="437" spans="1:34" x14ac:dyDescent="0.2">
      <c r="A437" s="13">
        <v>435</v>
      </c>
      <c r="B437" s="167" t="s">
        <v>70</v>
      </c>
      <c r="C437" s="167" t="s">
        <v>45</v>
      </c>
      <c r="D437" s="167">
        <v>1</v>
      </c>
      <c r="E437" s="14" t="s">
        <v>46</v>
      </c>
      <c r="F437" s="16">
        <v>37</v>
      </c>
      <c r="G437" s="14" t="s">
        <v>47</v>
      </c>
      <c r="H437" s="15" t="s">
        <v>48</v>
      </c>
      <c r="I437" s="16" t="str">
        <f t="shared" si="6"/>
        <v>R</v>
      </c>
      <c r="J437" s="167" t="s">
        <v>49</v>
      </c>
      <c r="K437" s="16" t="s">
        <v>78</v>
      </c>
      <c r="L437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437" s="15">
        <f>IF(DataTable[[#This Row],[3x head (H)/tail (T)?]]=DataTable[[#This Row],[then 4th: H/T/B/0]],1,0)</f>
        <v>0</v>
      </c>
      <c r="N437" s="15">
        <f>IF(DataTable[[#This Row],[then 4th: H/T/B/0]]="B",1,0)</f>
        <v>0</v>
      </c>
      <c r="O437" s="14" t="s">
        <v>437</v>
      </c>
      <c r="P437" s="167">
        <v>14</v>
      </c>
      <c r="Q437" s="169" t="s">
        <v>118</v>
      </c>
      <c r="R437" s="16" t="s">
        <v>58</v>
      </c>
      <c r="S437" s="18" t="s">
        <v>75</v>
      </c>
      <c r="T437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37" s="19" t="s">
        <v>76</v>
      </c>
      <c r="V437" s="20" t="s">
        <v>8</v>
      </c>
      <c r="W437" s="20"/>
      <c r="X437" s="18">
        <v>1</v>
      </c>
      <c r="Y437" s="18">
        <f>IF(DataTable[[#This Row],[explanation1]]="BL",1,IF(DataTable[[#This Row],[explanation2]]="BL",1,IF(DataTable[[#This Row],[explanation1]]="BR",1,IF(DataTable[[#This Row],[explanation2]]="BR",1,0))))</f>
        <v>0</v>
      </c>
      <c r="Z437" s="18">
        <f>IF(DataTable[[#This Row],[explanation1]]="BL",1,IF(DataTable[[#This Row],[explanation2]]="BL",1,0))</f>
        <v>0</v>
      </c>
      <c r="AA437" s="18">
        <f>IF(DataTable[[#This Row],[explanation1]]="WJ",1,IF(DataTable[[#This Row],[explanation2]]="WJ",1,0))</f>
        <v>0</v>
      </c>
      <c r="AB437" s="18">
        <f>IF(DataTable[[#This Row],[explanation1]]="U",1,IF(DataTable[[#This Row],[explanation2]]="U",1,0))</f>
        <v>1</v>
      </c>
      <c r="AC437" s="18">
        <f>IF(DataTable[[#This Row],[explanation1]]="O",1,IF(DataTable[[#This Row],[explanation2]]="O",1,0))</f>
        <v>0</v>
      </c>
      <c r="AD437" s="18">
        <f>IF(DataTable[[#This Row],[explanation1]]="TP",1,IF(DataTable[[#This Row],[explanation2]]="TP",1,0))</f>
        <v>0</v>
      </c>
      <c r="AE437" s="18">
        <f>IF(DataTable[[#This Row],[explanation1]]="WP",1,IF(DataTable[[#This Row],[explanation2]]="WP",1,0))</f>
        <v>0</v>
      </c>
      <c r="AF437" s="18">
        <f>IF(DataTable[[#This Row],[explanation1]]="BR",1,IF(DataTable[[#This Row],[explanation2]]="BR",1,0))</f>
        <v>0</v>
      </c>
      <c r="AG437" s="18">
        <f>IF(DataTable[[#This Row],[explanation1]]="LS",1,IF(DataTable[[#This Row],[explanation2]]="LS",1,0))</f>
        <v>0</v>
      </c>
      <c r="AH437" s="45" t="s">
        <v>424</v>
      </c>
    </row>
    <row r="438" spans="1:34" x14ac:dyDescent="0.2">
      <c r="A438" s="22">
        <v>436</v>
      </c>
      <c r="B438" s="167" t="s">
        <v>70</v>
      </c>
      <c r="C438" s="167" t="s">
        <v>74</v>
      </c>
      <c r="D438" s="167">
        <v>50</v>
      </c>
      <c r="E438" s="23" t="s">
        <v>58</v>
      </c>
      <c r="F438" s="25">
        <v>24</v>
      </c>
      <c r="G438" s="23" t="s">
        <v>47</v>
      </c>
      <c r="H438" s="24" t="s">
        <v>48</v>
      </c>
      <c r="I438" s="25" t="str">
        <f t="shared" si="6"/>
        <v>R</v>
      </c>
      <c r="J438" s="167" t="s">
        <v>49</v>
      </c>
      <c r="K438" s="25" t="s">
        <v>78</v>
      </c>
      <c r="L438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438" s="24">
        <f>IF(DataTable[[#This Row],[3x head (H)/tail (T)?]]=DataTable[[#This Row],[then 4th: H/T/B/0]],1,0)</f>
        <v>0</v>
      </c>
      <c r="N438" s="24">
        <f>IF(DataTable[[#This Row],[then 4th: H/T/B/0]]="B",1,0)</f>
        <v>0</v>
      </c>
      <c r="O438" s="14" t="s">
        <v>437</v>
      </c>
      <c r="P438" s="167">
        <v>14</v>
      </c>
      <c r="Q438" s="168" t="s">
        <v>118</v>
      </c>
      <c r="R438" s="25" t="s">
        <v>58</v>
      </c>
      <c r="S438" s="27" t="s">
        <v>75</v>
      </c>
      <c r="T438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38" s="28" t="s">
        <v>76</v>
      </c>
      <c r="V438" s="29" t="s">
        <v>13</v>
      </c>
      <c r="W438" s="29"/>
      <c r="X438" s="27"/>
      <c r="Y438" s="27">
        <f>IF(DataTable[[#This Row],[explanation1]]="BL",1,IF(DataTable[[#This Row],[explanation2]]="BL",1,IF(DataTable[[#This Row],[explanation1]]="BR",1,IF(DataTable[[#This Row],[explanation2]]="BR",1,0))))</f>
        <v>0</v>
      </c>
      <c r="Z438" s="18">
        <f>IF(DataTable[[#This Row],[explanation1]]="BL",1,IF(DataTable[[#This Row],[explanation2]]="BL",1,0))</f>
        <v>0</v>
      </c>
      <c r="AA438" s="18">
        <f>IF(DataTable[[#This Row],[explanation1]]="WJ",1,IF(DataTable[[#This Row],[explanation2]]="WJ",1,0))</f>
        <v>0</v>
      </c>
      <c r="AB438" s="18">
        <f>IF(DataTable[[#This Row],[explanation1]]="U",1,IF(DataTable[[#This Row],[explanation2]]="U",1,0))</f>
        <v>0</v>
      </c>
      <c r="AC438" s="18">
        <f>IF(DataTable[[#This Row],[explanation1]]="O",1,IF(DataTable[[#This Row],[explanation2]]="O",1,0))</f>
        <v>0</v>
      </c>
      <c r="AD438" s="18">
        <f>IF(DataTable[[#This Row],[explanation1]]="TP",1,IF(DataTable[[#This Row],[explanation2]]="TP",1,0))</f>
        <v>0</v>
      </c>
      <c r="AE438" s="18">
        <f>IF(DataTable[[#This Row],[explanation1]]="WP",1,IF(DataTable[[#This Row],[explanation2]]="WP",1,0))</f>
        <v>0</v>
      </c>
      <c r="AF438" s="18">
        <f>IF(DataTable[[#This Row],[explanation1]]="BR",1,IF(DataTable[[#This Row],[explanation2]]="BR",1,0))</f>
        <v>0</v>
      </c>
      <c r="AG438" s="18">
        <f>IF(DataTable[[#This Row],[explanation1]]="LS",1,IF(DataTable[[#This Row],[explanation2]]="LS",1,0))</f>
        <v>1</v>
      </c>
      <c r="AH438" s="45" t="s">
        <v>6</v>
      </c>
    </row>
    <row r="439" spans="1:34" x14ac:dyDescent="0.2">
      <c r="A439" s="13">
        <v>437</v>
      </c>
      <c r="B439" s="167" t="s">
        <v>44</v>
      </c>
      <c r="C439" s="167" t="s">
        <v>45</v>
      </c>
      <c r="D439" s="167">
        <v>1</v>
      </c>
      <c r="E439" s="14" t="s">
        <v>46</v>
      </c>
      <c r="F439" s="16">
        <v>25</v>
      </c>
      <c r="G439" s="14" t="s">
        <v>47</v>
      </c>
      <c r="H439" s="15" t="s">
        <v>81</v>
      </c>
      <c r="I439" s="16" t="str">
        <f t="shared" si="6"/>
        <v>L1</v>
      </c>
      <c r="J439" s="167" t="s">
        <v>78</v>
      </c>
      <c r="K439" s="16" t="s">
        <v>50</v>
      </c>
      <c r="L439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39" s="15">
        <f>IF(DataTable[[#This Row],[3x head (H)/tail (T)?]]=DataTable[[#This Row],[then 4th: H/T/B/0]],1,0)</f>
        <v>0</v>
      </c>
      <c r="N439" s="15">
        <f>IF(DataTable[[#This Row],[then 4th: H/T/B/0]]="B",1,0)</f>
        <v>1</v>
      </c>
      <c r="O439" s="14" t="s">
        <v>438</v>
      </c>
      <c r="P439" s="167">
        <v>21</v>
      </c>
      <c r="Q439" s="169" t="s">
        <v>118</v>
      </c>
      <c r="R439" s="16" t="s">
        <v>58</v>
      </c>
      <c r="S439" s="18" t="s">
        <v>75</v>
      </c>
      <c r="T439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39" s="19" t="s">
        <v>76</v>
      </c>
      <c r="V439" s="20" t="s">
        <v>7</v>
      </c>
      <c r="W439" s="20"/>
      <c r="X439" s="18"/>
      <c r="Y439" s="18">
        <f>IF(DataTable[[#This Row],[explanation1]]="BL",1,IF(DataTable[[#This Row],[explanation2]]="BL",1,IF(DataTable[[#This Row],[explanation1]]="BR",1,IF(DataTable[[#This Row],[explanation2]]="BR",1,0))))</f>
        <v>0</v>
      </c>
      <c r="Z439" s="18">
        <f>IF(DataTable[[#This Row],[explanation1]]="BL",1,IF(DataTable[[#This Row],[explanation2]]="BL",1,0))</f>
        <v>0</v>
      </c>
      <c r="AA439" s="18">
        <f>IF(DataTable[[#This Row],[explanation1]]="WJ",1,IF(DataTable[[#This Row],[explanation2]]="WJ",1,0))</f>
        <v>1</v>
      </c>
      <c r="AB439" s="18">
        <f>IF(DataTable[[#This Row],[explanation1]]="U",1,IF(DataTable[[#This Row],[explanation2]]="U",1,0))</f>
        <v>0</v>
      </c>
      <c r="AC439" s="18">
        <f>IF(DataTable[[#This Row],[explanation1]]="O",1,IF(DataTable[[#This Row],[explanation2]]="O",1,0))</f>
        <v>0</v>
      </c>
      <c r="AD439" s="18">
        <f>IF(DataTable[[#This Row],[explanation1]]="TP",1,IF(DataTable[[#This Row],[explanation2]]="TP",1,0))</f>
        <v>0</v>
      </c>
      <c r="AE439" s="18">
        <f>IF(DataTable[[#This Row],[explanation1]]="WP",1,IF(DataTable[[#This Row],[explanation2]]="WP",1,0))</f>
        <v>0</v>
      </c>
      <c r="AF439" s="18">
        <f>IF(DataTable[[#This Row],[explanation1]]="BR",1,IF(DataTable[[#This Row],[explanation2]]="BR",1,0))</f>
        <v>0</v>
      </c>
      <c r="AG439" s="18">
        <f>IF(DataTable[[#This Row],[explanation1]]="LS",1,IF(DataTable[[#This Row],[explanation2]]="LS",1,0))</f>
        <v>0</v>
      </c>
      <c r="AH439" s="45" t="s">
        <v>7</v>
      </c>
    </row>
    <row r="440" spans="1:34" x14ac:dyDescent="0.2">
      <c r="A440" s="22">
        <v>438</v>
      </c>
      <c r="B440" s="167" t="s">
        <v>44</v>
      </c>
      <c r="C440" s="167" t="s">
        <v>45</v>
      </c>
      <c r="D440" s="167">
        <v>50</v>
      </c>
      <c r="E440" s="23" t="s">
        <v>46</v>
      </c>
      <c r="F440" s="25">
        <v>40</v>
      </c>
      <c r="G440" s="23" t="s">
        <v>47</v>
      </c>
      <c r="H440" s="24" t="s">
        <v>48</v>
      </c>
      <c r="I440" s="25" t="str">
        <f t="shared" si="6"/>
        <v>R</v>
      </c>
      <c r="J440" s="167" t="s">
        <v>78</v>
      </c>
      <c r="K440" s="25" t="s">
        <v>49</v>
      </c>
      <c r="L440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440" s="24">
        <f>IF(DataTable[[#This Row],[3x head (H)/tail (T)?]]=DataTable[[#This Row],[then 4th: H/T/B/0]],1,0)</f>
        <v>0</v>
      </c>
      <c r="N440" s="24">
        <f>IF(DataTable[[#This Row],[then 4th: H/T/B/0]]="B",1,0)</f>
        <v>0</v>
      </c>
      <c r="O440" s="14" t="s">
        <v>438</v>
      </c>
      <c r="P440" s="167">
        <v>21</v>
      </c>
      <c r="Q440" s="168" t="s">
        <v>118</v>
      </c>
      <c r="R440" s="25" t="s">
        <v>58</v>
      </c>
      <c r="S440" s="27" t="s">
        <v>75</v>
      </c>
      <c r="T440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40" s="28" t="s">
        <v>76</v>
      </c>
      <c r="V440" s="29" t="s">
        <v>9</v>
      </c>
      <c r="W440" s="29"/>
      <c r="X440" s="27"/>
      <c r="Y440" s="27">
        <f>IF(DataTable[[#This Row],[explanation1]]="BL",1,IF(DataTable[[#This Row],[explanation2]]="BL",1,IF(DataTable[[#This Row],[explanation1]]="BR",1,IF(DataTable[[#This Row],[explanation2]]="BR",1,0))))</f>
        <v>0</v>
      </c>
      <c r="Z440" s="18">
        <f>IF(DataTable[[#This Row],[explanation1]]="BL",1,IF(DataTable[[#This Row],[explanation2]]="BL",1,0))</f>
        <v>0</v>
      </c>
      <c r="AA440" s="18">
        <f>IF(DataTable[[#This Row],[explanation1]]="WJ",1,IF(DataTable[[#This Row],[explanation2]]="WJ",1,0))</f>
        <v>0</v>
      </c>
      <c r="AB440" s="18">
        <f>IF(DataTable[[#This Row],[explanation1]]="U",1,IF(DataTable[[#This Row],[explanation2]]="U",1,0))</f>
        <v>0</v>
      </c>
      <c r="AC440" s="18">
        <f>IF(DataTable[[#This Row],[explanation1]]="O",1,IF(DataTable[[#This Row],[explanation2]]="O",1,0))</f>
        <v>1</v>
      </c>
      <c r="AD440" s="18">
        <f>IF(DataTable[[#This Row],[explanation1]]="TP",1,IF(DataTable[[#This Row],[explanation2]]="TP",1,0))</f>
        <v>0</v>
      </c>
      <c r="AE440" s="18">
        <f>IF(DataTable[[#This Row],[explanation1]]="WP",1,IF(DataTable[[#This Row],[explanation2]]="WP",1,0))</f>
        <v>0</v>
      </c>
      <c r="AF440" s="18">
        <f>IF(DataTable[[#This Row],[explanation1]]="BR",1,IF(DataTable[[#This Row],[explanation2]]="BR",1,0))</f>
        <v>0</v>
      </c>
      <c r="AG440" s="18">
        <f>IF(DataTable[[#This Row],[explanation1]]="LS",1,IF(DataTable[[#This Row],[explanation2]]="LS",1,0))</f>
        <v>0</v>
      </c>
      <c r="AH440" s="45" t="s">
        <v>9</v>
      </c>
    </row>
    <row r="441" spans="1:34" x14ac:dyDescent="0.2">
      <c r="A441" s="13">
        <v>439</v>
      </c>
      <c r="B441" s="167" t="s">
        <v>60</v>
      </c>
      <c r="C441" s="167" t="s">
        <v>45</v>
      </c>
      <c r="D441" s="167">
        <v>50</v>
      </c>
      <c r="E441" s="14" t="s">
        <v>58</v>
      </c>
      <c r="F441" s="16">
        <v>29</v>
      </c>
      <c r="G441" s="14" t="s">
        <v>47</v>
      </c>
      <c r="H441" s="15" t="s">
        <v>48</v>
      </c>
      <c r="I441" s="16" t="str">
        <f t="shared" si="6"/>
        <v>R</v>
      </c>
      <c r="J441" s="167" t="s">
        <v>78</v>
      </c>
      <c r="K441" s="16" t="s">
        <v>50</v>
      </c>
      <c r="L441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41" s="15">
        <f>IF(DataTable[[#This Row],[3x head (H)/tail (T)?]]=DataTable[[#This Row],[then 4th: H/T/B/0]],1,0)</f>
        <v>0</v>
      </c>
      <c r="N441" s="15">
        <f>IF(DataTable[[#This Row],[then 4th: H/T/B/0]]="B",1,0)</f>
        <v>1</v>
      </c>
      <c r="O441" s="14" t="s">
        <v>438</v>
      </c>
      <c r="P441" s="167">
        <v>21</v>
      </c>
      <c r="Q441" s="169" t="s">
        <v>118</v>
      </c>
      <c r="R441" s="16" t="s">
        <v>58</v>
      </c>
      <c r="S441" s="18" t="s">
        <v>75</v>
      </c>
      <c r="T441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41" s="19" t="s">
        <v>76</v>
      </c>
      <c r="V441" s="20" t="s">
        <v>12</v>
      </c>
      <c r="W441" s="20"/>
      <c r="X441" s="18"/>
      <c r="Y441" s="18">
        <f>IF(DataTable[[#This Row],[explanation1]]="BL",1,IF(DataTable[[#This Row],[explanation2]]="BL",1,IF(DataTable[[#This Row],[explanation1]]="BR",1,IF(DataTable[[#This Row],[explanation2]]="BR",1,0))))</f>
        <v>1</v>
      </c>
      <c r="Z441" s="18">
        <f>IF(DataTable[[#This Row],[explanation1]]="BL",1,IF(DataTable[[#This Row],[explanation2]]="BL",1,0))</f>
        <v>0</v>
      </c>
      <c r="AA441" s="18">
        <f>IF(DataTable[[#This Row],[explanation1]]="WJ",1,IF(DataTable[[#This Row],[explanation2]]="WJ",1,0))</f>
        <v>0</v>
      </c>
      <c r="AB441" s="18">
        <f>IF(DataTable[[#This Row],[explanation1]]="U",1,IF(DataTable[[#This Row],[explanation2]]="U",1,0))</f>
        <v>0</v>
      </c>
      <c r="AC441" s="18">
        <f>IF(DataTable[[#This Row],[explanation1]]="O",1,IF(DataTable[[#This Row],[explanation2]]="O",1,0))</f>
        <v>0</v>
      </c>
      <c r="AD441" s="18">
        <f>IF(DataTable[[#This Row],[explanation1]]="TP",1,IF(DataTable[[#This Row],[explanation2]]="TP",1,0))</f>
        <v>0</v>
      </c>
      <c r="AE441" s="18">
        <f>IF(DataTable[[#This Row],[explanation1]]="WP",1,IF(DataTable[[#This Row],[explanation2]]="WP",1,0))</f>
        <v>0</v>
      </c>
      <c r="AF441" s="18">
        <f>IF(DataTable[[#This Row],[explanation1]]="BR",1,IF(DataTable[[#This Row],[explanation2]]="BR",1,0))</f>
        <v>1</v>
      </c>
      <c r="AG441" s="18">
        <f>IF(DataTable[[#This Row],[explanation1]]="LS",1,IF(DataTable[[#This Row],[explanation2]]="LS",1,0))</f>
        <v>0</v>
      </c>
      <c r="AH441" s="45" t="s">
        <v>12</v>
      </c>
    </row>
    <row r="442" spans="1:34" x14ac:dyDescent="0.2">
      <c r="A442" s="22">
        <v>440</v>
      </c>
      <c r="B442" s="167" t="s">
        <v>60</v>
      </c>
      <c r="C442" s="167" t="s">
        <v>45</v>
      </c>
      <c r="D442" s="167">
        <v>50</v>
      </c>
      <c r="E442" s="23" t="s">
        <v>46</v>
      </c>
      <c r="F442" s="25">
        <v>29</v>
      </c>
      <c r="G442" s="23" t="s">
        <v>47</v>
      </c>
      <c r="H442" s="24" t="s">
        <v>48</v>
      </c>
      <c r="I442" s="25" t="str">
        <f t="shared" si="6"/>
        <v>R</v>
      </c>
      <c r="J442" s="167" t="s">
        <v>49</v>
      </c>
      <c r="K442" s="25" t="s">
        <v>78</v>
      </c>
      <c r="L442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442" s="24">
        <f>IF(DataTable[[#This Row],[3x head (H)/tail (T)?]]=DataTable[[#This Row],[then 4th: H/T/B/0]],1,0)</f>
        <v>0</v>
      </c>
      <c r="N442" s="24">
        <f>IF(DataTable[[#This Row],[then 4th: H/T/B/0]]="B",1,0)</f>
        <v>0</v>
      </c>
      <c r="O442" s="23" t="s">
        <v>438</v>
      </c>
      <c r="P442" s="167">
        <v>21</v>
      </c>
      <c r="Q442" s="168" t="s">
        <v>118</v>
      </c>
      <c r="R442" s="25" t="s">
        <v>58</v>
      </c>
      <c r="S442" s="27" t="s">
        <v>75</v>
      </c>
      <c r="T442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42" s="28" t="s">
        <v>76</v>
      </c>
      <c r="V442" s="29" t="s">
        <v>6</v>
      </c>
      <c r="W442" s="29"/>
      <c r="X442" s="27"/>
      <c r="Y442" s="27">
        <f>IF(DataTable[[#This Row],[explanation1]]="BL",1,IF(DataTable[[#This Row],[explanation2]]="BL",1,IF(DataTable[[#This Row],[explanation1]]="BR",1,IF(DataTable[[#This Row],[explanation2]]="BR",1,0))))</f>
        <v>1</v>
      </c>
      <c r="Z442" s="18">
        <f>IF(DataTable[[#This Row],[explanation1]]="BL",1,IF(DataTable[[#This Row],[explanation2]]="BL",1,0))</f>
        <v>1</v>
      </c>
      <c r="AA442" s="18">
        <f>IF(DataTable[[#This Row],[explanation1]]="WJ",1,IF(DataTable[[#This Row],[explanation2]]="WJ",1,0))</f>
        <v>0</v>
      </c>
      <c r="AB442" s="18">
        <f>IF(DataTable[[#This Row],[explanation1]]="U",1,IF(DataTable[[#This Row],[explanation2]]="U",1,0))</f>
        <v>0</v>
      </c>
      <c r="AC442" s="18">
        <f>IF(DataTable[[#This Row],[explanation1]]="O",1,IF(DataTable[[#This Row],[explanation2]]="O",1,0))</f>
        <v>0</v>
      </c>
      <c r="AD442" s="18">
        <f>IF(DataTable[[#This Row],[explanation1]]="TP",1,IF(DataTable[[#This Row],[explanation2]]="TP",1,0))</f>
        <v>0</v>
      </c>
      <c r="AE442" s="18">
        <f>IF(DataTable[[#This Row],[explanation1]]="WP",1,IF(DataTable[[#This Row],[explanation2]]="WP",1,0))</f>
        <v>0</v>
      </c>
      <c r="AF442" s="18">
        <f>IF(DataTable[[#This Row],[explanation1]]="BR",1,IF(DataTable[[#This Row],[explanation2]]="BR",1,0))</f>
        <v>0</v>
      </c>
      <c r="AG442" s="18">
        <f>IF(DataTable[[#This Row],[explanation1]]="LS",1,IF(DataTable[[#This Row],[explanation2]]="LS",1,0))</f>
        <v>0</v>
      </c>
      <c r="AH442" s="45" t="s">
        <v>6</v>
      </c>
    </row>
    <row r="443" spans="1:34" x14ac:dyDescent="0.2">
      <c r="A443" s="13">
        <v>441</v>
      </c>
      <c r="B443" s="167" t="s">
        <v>57</v>
      </c>
      <c r="C443" s="167" t="s">
        <v>74</v>
      </c>
      <c r="D443" s="167">
        <v>1</v>
      </c>
      <c r="E443" s="14" t="s">
        <v>46</v>
      </c>
      <c r="F443" s="16">
        <v>49</v>
      </c>
      <c r="G443" s="14" t="s">
        <v>47</v>
      </c>
      <c r="H443" s="15" t="s">
        <v>48</v>
      </c>
      <c r="I443" s="16" t="str">
        <f t="shared" si="6"/>
        <v>R</v>
      </c>
      <c r="J443" s="167" t="s">
        <v>78</v>
      </c>
      <c r="K443" s="16" t="s">
        <v>50</v>
      </c>
      <c r="L443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43" s="15">
        <f>IF(DataTable[[#This Row],[3x head (H)/tail (T)?]]=DataTable[[#This Row],[then 4th: H/T/B/0]],1,0)</f>
        <v>0</v>
      </c>
      <c r="N443" s="15">
        <f>IF(DataTable[[#This Row],[then 4th: H/T/B/0]]="B",1,0)</f>
        <v>1</v>
      </c>
      <c r="O443" s="14" t="s">
        <v>438</v>
      </c>
      <c r="P443" s="167">
        <v>21</v>
      </c>
      <c r="Q443" s="169" t="s">
        <v>118</v>
      </c>
      <c r="R443" s="16" t="s">
        <v>58</v>
      </c>
      <c r="S443" s="18" t="s">
        <v>75</v>
      </c>
      <c r="T443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43" s="19" t="s">
        <v>76</v>
      </c>
      <c r="V443" s="20" t="s">
        <v>6</v>
      </c>
      <c r="W443" s="20"/>
      <c r="X443" s="18"/>
      <c r="Y443" s="18">
        <f>IF(DataTable[[#This Row],[explanation1]]="BL",1,IF(DataTable[[#This Row],[explanation2]]="BL",1,IF(DataTable[[#This Row],[explanation1]]="BR",1,IF(DataTable[[#This Row],[explanation2]]="BR",1,0))))</f>
        <v>1</v>
      </c>
      <c r="Z443" s="18">
        <f>IF(DataTable[[#This Row],[explanation1]]="BL",1,IF(DataTable[[#This Row],[explanation2]]="BL",1,0))</f>
        <v>1</v>
      </c>
      <c r="AA443" s="18">
        <f>IF(DataTable[[#This Row],[explanation1]]="WJ",1,IF(DataTable[[#This Row],[explanation2]]="WJ",1,0))</f>
        <v>0</v>
      </c>
      <c r="AB443" s="18">
        <f>IF(DataTable[[#This Row],[explanation1]]="U",1,IF(DataTable[[#This Row],[explanation2]]="U",1,0))</f>
        <v>0</v>
      </c>
      <c r="AC443" s="18">
        <f>IF(DataTable[[#This Row],[explanation1]]="O",1,IF(DataTable[[#This Row],[explanation2]]="O",1,0))</f>
        <v>0</v>
      </c>
      <c r="AD443" s="18">
        <f>IF(DataTable[[#This Row],[explanation1]]="TP",1,IF(DataTable[[#This Row],[explanation2]]="TP",1,0))</f>
        <v>0</v>
      </c>
      <c r="AE443" s="18">
        <f>IF(DataTable[[#This Row],[explanation1]]="WP",1,IF(DataTable[[#This Row],[explanation2]]="WP",1,0))</f>
        <v>0</v>
      </c>
      <c r="AF443" s="18">
        <f>IF(DataTable[[#This Row],[explanation1]]="BR",1,IF(DataTable[[#This Row],[explanation2]]="BR",1,0))</f>
        <v>0</v>
      </c>
      <c r="AG443" s="18">
        <f>IF(DataTable[[#This Row],[explanation1]]="LS",1,IF(DataTable[[#This Row],[explanation2]]="LS",1,0))</f>
        <v>0</v>
      </c>
      <c r="AH443" s="45" t="s">
        <v>6</v>
      </c>
    </row>
    <row r="444" spans="1:34" x14ac:dyDescent="0.2">
      <c r="A444" s="22">
        <v>442</v>
      </c>
      <c r="B444" s="167" t="s">
        <v>57</v>
      </c>
      <c r="C444" s="167" t="s">
        <v>74</v>
      </c>
      <c r="D444" s="167">
        <v>1</v>
      </c>
      <c r="E444" s="23" t="s">
        <v>58</v>
      </c>
      <c r="F444" s="25">
        <v>45</v>
      </c>
      <c r="G444" s="23" t="s">
        <v>47</v>
      </c>
      <c r="H444" s="24" t="s">
        <v>81</v>
      </c>
      <c r="I444" s="25" t="str">
        <f t="shared" si="6"/>
        <v>H1</v>
      </c>
      <c r="J444" s="167" t="s">
        <v>78</v>
      </c>
      <c r="K444" s="25" t="s">
        <v>50</v>
      </c>
      <c r="L444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44" s="24">
        <f>IF(DataTable[[#This Row],[3x head (H)/tail (T)?]]=DataTable[[#This Row],[then 4th: H/T/B/0]],1,0)</f>
        <v>0</v>
      </c>
      <c r="N444" s="24">
        <f>IF(DataTable[[#This Row],[then 4th: H/T/B/0]]="B",1,0)</f>
        <v>1</v>
      </c>
      <c r="O444" s="23" t="s">
        <v>438</v>
      </c>
      <c r="P444" s="167">
        <v>21</v>
      </c>
      <c r="Q444" s="168" t="s">
        <v>118</v>
      </c>
      <c r="R444" s="25" t="s">
        <v>58</v>
      </c>
      <c r="S444" s="27" t="s">
        <v>75</v>
      </c>
      <c r="T444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44" s="28" t="s">
        <v>76</v>
      </c>
      <c r="V444" s="29" t="s">
        <v>7</v>
      </c>
      <c r="W444" s="29"/>
      <c r="X444" s="27"/>
      <c r="Y444" s="27">
        <f>IF(DataTable[[#This Row],[explanation1]]="BL",1,IF(DataTable[[#This Row],[explanation2]]="BL",1,IF(DataTable[[#This Row],[explanation1]]="BR",1,IF(DataTable[[#This Row],[explanation2]]="BR",1,0))))</f>
        <v>0</v>
      </c>
      <c r="Z444" s="18">
        <f>IF(DataTable[[#This Row],[explanation1]]="BL",1,IF(DataTable[[#This Row],[explanation2]]="BL",1,0))</f>
        <v>0</v>
      </c>
      <c r="AA444" s="18">
        <f>IF(DataTable[[#This Row],[explanation1]]="WJ",1,IF(DataTable[[#This Row],[explanation2]]="WJ",1,0))</f>
        <v>1</v>
      </c>
      <c r="AB444" s="18">
        <f>IF(DataTable[[#This Row],[explanation1]]="U",1,IF(DataTable[[#This Row],[explanation2]]="U",1,0))</f>
        <v>0</v>
      </c>
      <c r="AC444" s="18">
        <f>IF(DataTable[[#This Row],[explanation1]]="O",1,IF(DataTable[[#This Row],[explanation2]]="O",1,0))</f>
        <v>0</v>
      </c>
      <c r="AD444" s="18">
        <f>IF(DataTable[[#This Row],[explanation1]]="TP",1,IF(DataTable[[#This Row],[explanation2]]="TP",1,0))</f>
        <v>0</v>
      </c>
      <c r="AE444" s="18">
        <f>IF(DataTable[[#This Row],[explanation1]]="WP",1,IF(DataTable[[#This Row],[explanation2]]="WP",1,0))</f>
        <v>0</v>
      </c>
      <c r="AF444" s="18">
        <f>IF(DataTable[[#This Row],[explanation1]]="BR",1,IF(DataTable[[#This Row],[explanation2]]="BR",1,0))</f>
        <v>0</v>
      </c>
      <c r="AG444" s="18">
        <f>IF(DataTable[[#This Row],[explanation1]]="LS",1,IF(DataTable[[#This Row],[explanation2]]="LS",1,0))</f>
        <v>0</v>
      </c>
      <c r="AH444" s="45" t="s">
        <v>7</v>
      </c>
    </row>
    <row r="445" spans="1:34" x14ac:dyDescent="0.2">
      <c r="A445" s="13">
        <v>443</v>
      </c>
      <c r="B445" s="167" t="s">
        <v>57</v>
      </c>
      <c r="C445" s="167" t="s">
        <v>74</v>
      </c>
      <c r="D445" s="167">
        <v>1</v>
      </c>
      <c r="E445" s="14" t="s">
        <v>58</v>
      </c>
      <c r="F445" s="16">
        <v>44</v>
      </c>
      <c r="G445" s="14" t="s">
        <v>47</v>
      </c>
      <c r="H445" s="15" t="s">
        <v>48</v>
      </c>
      <c r="I445" s="16" t="str">
        <f t="shared" si="6"/>
        <v>R</v>
      </c>
      <c r="J445" s="167" t="s">
        <v>49</v>
      </c>
      <c r="K445" s="16" t="s">
        <v>50</v>
      </c>
      <c r="L445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45" s="15">
        <f>IF(DataTable[[#This Row],[3x head (H)/tail (T)?]]=DataTable[[#This Row],[then 4th: H/T/B/0]],1,0)</f>
        <v>0</v>
      </c>
      <c r="N445" s="15">
        <f>IF(DataTable[[#This Row],[then 4th: H/T/B/0]]="B",1,0)</f>
        <v>1</v>
      </c>
      <c r="O445" s="14" t="s">
        <v>438</v>
      </c>
      <c r="P445" s="167">
        <v>21</v>
      </c>
      <c r="Q445" s="169" t="s">
        <v>118</v>
      </c>
      <c r="R445" s="16" t="s">
        <v>58</v>
      </c>
      <c r="S445" s="18" t="s">
        <v>75</v>
      </c>
      <c r="T445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45" s="19" t="s">
        <v>76</v>
      </c>
      <c r="V445" s="20" t="s">
        <v>7</v>
      </c>
      <c r="W445" s="20"/>
      <c r="X445" s="18"/>
      <c r="Y445" s="18">
        <f>IF(DataTable[[#This Row],[explanation1]]="BL",1,IF(DataTable[[#This Row],[explanation2]]="BL",1,IF(DataTable[[#This Row],[explanation1]]="BR",1,IF(DataTable[[#This Row],[explanation2]]="BR",1,0))))</f>
        <v>0</v>
      </c>
      <c r="Z445" s="18">
        <f>IF(DataTable[[#This Row],[explanation1]]="BL",1,IF(DataTable[[#This Row],[explanation2]]="BL",1,0))</f>
        <v>0</v>
      </c>
      <c r="AA445" s="18">
        <f>IF(DataTable[[#This Row],[explanation1]]="WJ",1,IF(DataTable[[#This Row],[explanation2]]="WJ",1,0))</f>
        <v>1</v>
      </c>
      <c r="AB445" s="18">
        <f>IF(DataTable[[#This Row],[explanation1]]="U",1,IF(DataTable[[#This Row],[explanation2]]="U",1,0))</f>
        <v>0</v>
      </c>
      <c r="AC445" s="18">
        <f>IF(DataTable[[#This Row],[explanation1]]="O",1,IF(DataTable[[#This Row],[explanation2]]="O",1,0))</f>
        <v>0</v>
      </c>
      <c r="AD445" s="18">
        <f>IF(DataTable[[#This Row],[explanation1]]="TP",1,IF(DataTable[[#This Row],[explanation2]]="TP",1,0))</f>
        <v>0</v>
      </c>
      <c r="AE445" s="18">
        <f>IF(DataTable[[#This Row],[explanation1]]="WP",1,IF(DataTable[[#This Row],[explanation2]]="WP",1,0))</f>
        <v>0</v>
      </c>
      <c r="AF445" s="18">
        <f>IF(DataTable[[#This Row],[explanation1]]="BR",1,IF(DataTable[[#This Row],[explanation2]]="BR",1,0))</f>
        <v>0</v>
      </c>
      <c r="AG445" s="18">
        <f>IF(DataTable[[#This Row],[explanation1]]="LS",1,IF(DataTable[[#This Row],[explanation2]]="LS",1,0))</f>
        <v>0</v>
      </c>
      <c r="AH445" s="45" t="s">
        <v>7</v>
      </c>
    </row>
    <row r="446" spans="1:34" x14ac:dyDescent="0.2">
      <c r="A446" s="22">
        <v>444</v>
      </c>
      <c r="B446" s="167" t="s">
        <v>57</v>
      </c>
      <c r="C446" s="167" t="s">
        <v>74</v>
      </c>
      <c r="D446" s="167">
        <v>50</v>
      </c>
      <c r="E446" s="23" t="s">
        <v>58</v>
      </c>
      <c r="F446" s="25">
        <v>20</v>
      </c>
      <c r="G446" s="23" t="s">
        <v>47</v>
      </c>
      <c r="H446" s="24" t="s">
        <v>48</v>
      </c>
      <c r="I446" s="25" t="str">
        <f t="shared" si="6"/>
        <v>R</v>
      </c>
      <c r="J446" s="167" t="s">
        <v>49</v>
      </c>
      <c r="K446" s="25" t="s">
        <v>78</v>
      </c>
      <c r="L446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446" s="24">
        <f>IF(DataTable[[#This Row],[3x head (H)/tail (T)?]]=DataTable[[#This Row],[then 4th: H/T/B/0]],1,0)</f>
        <v>0</v>
      </c>
      <c r="N446" s="24">
        <f>IF(DataTable[[#This Row],[then 4th: H/T/B/0]]="B",1,0)</f>
        <v>0</v>
      </c>
      <c r="O446" s="23" t="s">
        <v>438</v>
      </c>
      <c r="P446" s="167">
        <v>21</v>
      </c>
      <c r="Q446" s="168" t="s">
        <v>118</v>
      </c>
      <c r="R446" s="25" t="s">
        <v>58</v>
      </c>
      <c r="S446" s="27" t="s">
        <v>75</v>
      </c>
      <c r="T446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46" s="28" t="s">
        <v>76</v>
      </c>
      <c r="V446" s="29" t="s">
        <v>8</v>
      </c>
      <c r="W446" s="29"/>
      <c r="X446" s="27"/>
      <c r="Y446" s="27">
        <f>IF(DataTable[[#This Row],[explanation1]]="BL",1,IF(DataTable[[#This Row],[explanation2]]="BL",1,IF(DataTable[[#This Row],[explanation1]]="BR",1,IF(DataTable[[#This Row],[explanation2]]="BR",1,0))))</f>
        <v>0</v>
      </c>
      <c r="Z446" s="18">
        <f>IF(DataTable[[#This Row],[explanation1]]="BL",1,IF(DataTable[[#This Row],[explanation2]]="BL",1,0))</f>
        <v>0</v>
      </c>
      <c r="AA446" s="18">
        <f>IF(DataTable[[#This Row],[explanation1]]="WJ",1,IF(DataTable[[#This Row],[explanation2]]="WJ",1,0))</f>
        <v>0</v>
      </c>
      <c r="AB446" s="18">
        <f>IF(DataTable[[#This Row],[explanation1]]="U",1,IF(DataTable[[#This Row],[explanation2]]="U",1,0))</f>
        <v>1</v>
      </c>
      <c r="AC446" s="18">
        <f>IF(DataTable[[#This Row],[explanation1]]="O",1,IF(DataTable[[#This Row],[explanation2]]="O",1,0))</f>
        <v>0</v>
      </c>
      <c r="AD446" s="18">
        <f>IF(DataTable[[#This Row],[explanation1]]="TP",1,IF(DataTable[[#This Row],[explanation2]]="TP",1,0))</f>
        <v>0</v>
      </c>
      <c r="AE446" s="18">
        <f>IF(DataTable[[#This Row],[explanation1]]="WP",1,IF(DataTable[[#This Row],[explanation2]]="WP",1,0))</f>
        <v>0</v>
      </c>
      <c r="AF446" s="18">
        <f>IF(DataTable[[#This Row],[explanation1]]="BR",1,IF(DataTable[[#This Row],[explanation2]]="BR",1,0))</f>
        <v>0</v>
      </c>
      <c r="AG446" s="18">
        <f>IF(DataTable[[#This Row],[explanation1]]="LS",1,IF(DataTable[[#This Row],[explanation2]]="LS",1,0))</f>
        <v>0</v>
      </c>
      <c r="AH446" s="45" t="s">
        <v>8</v>
      </c>
    </row>
    <row r="447" spans="1:34" x14ac:dyDescent="0.2">
      <c r="A447" s="13">
        <v>445</v>
      </c>
      <c r="B447" s="167" t="s">
        <v>57</v>
      </c>
      <c r="C447" s="167" t="s">
        <v>74</v>
      </c>
      <c r="D447" s="167">
        <v>50</v>
      </c>
      <c r="E447" s="14" t="s">
        <v>58</v>
      </c>
      <c r="F447" s="16">
        <v>41</v>
      </c>
      <c r="G447" s="14" t="s">
        <v>47</v>
      </c>
      <c r="H447" s="15" t="s">
        <v>48</v>
      </c>
      <c r="I447" s="16" t="str">
        <f t="shared" si="6"/>
        <v>R</v>
      </c>
      <c r="J447" s="167" t="s">
        <v>78</v>
      </c>
      <c r="K447" s="16" t="s">
        <v>50</v>
      </c>
      <c r="L447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47" s="15">
        <f>IF(DataTable[[#This Row],[3x head (H)/tail (T)?]]=DataTable[[#This Row],[then 4th: H/T/B/0]],1,0)</f>
        <v>0</v>
      </c>
      <c r="N447" s="15">
        <f>IF(DataTable[[#This Row],[then 4th: H/T/B/0]]="B",1,0)</f>
        <v>1</v>
      </c>
      <c r="O447" s="14" t="s">
        <v>438</v>
      </c>
      <c r="P447" s="167">
        <v>21</v>
      </c>
      <c r="Q447" s="169" t="s">
        <v>118</v>
      </c>
      <c r="R447" s="16" t="s">
        <v>58</v>
      </c>
      <c r="S447" s="18" t="s">
        <v>54</v>
      </c>
      <c r="T447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447" s="19" t="s">
        <v>88</v>
      </c>
      <c r="V447" s="20" t="s">
        <v>12</v>
      </c>
      <c r="W447" s="20" t="s">
        <v>6</v>
      </c>
      <c r="X447" s="18"/>
      <c r="Y447" s="18">
        <f>IF(DataTable[[#This Row],[explanation1]]="BL",1,IF(DataTable[[#This Row],[explanation2]]="BL",1,IF(DataTable[[#This Row],[explanation1]]="BR",1,IF(DataTable[[#This Row],[explanation2]]="BR",1,0))))</f>
        <v>1</v>
      </c>
      <c r="Z447" s="18">
        <f>IF(DataTable[[#This Row],[explanation1]]="BL",1,IF(DataTable[[#This Row],[explanation2]]="BL",1,0))</f>
        <v>1</v>
      </c>
      <c r="AA447" s="18">
        <f>IF(DataTable[[#This Row],[explanation1]]="WJ",1,IF(DataTable[[#This Row],[explanation2]]="WJ",1,0))</f>
        <v>0</v>
      </c>
      <c r="AB447" s="18">
        <f>IF(DataTable[[#This Row],[explanation1]]="U",1,IF(DataTable[[#This Row],[explanation2]]="U",1,0))</f>
        <v>0</v>
      </c>
      <c r="AC447" s="18">
        <f>IF(DataTable[[#This Row],[explanation1]]="O",1,IF(DataTable[[#This Row],[explanation2]]="O",1,0))</f>
        <v>0</v>
      </c>
      <c r="AD447" s="18">
        <f>IF(DataTable[[#This Row],[explanation1]]="TP",1,IF(DataTable[[#This Row],[explanation2]]="TP",1,0))</f>
        <v>0</v>
      </c>
      <c r="AE447" s="18">
        <f>IF(DataTable[[#This Row],[explanation1]]="WP",1,IF(DataTable[[#This Row],[explanation2]]="WP",1,0))</f>
        <v>0</v>
      </c>
      <c r="AF447" s="18">
        <f>IF(DataTable[[#This Row],[explanation1]]="BR",1,IF(DataTable[[#This Row],[explanation2]]="BR",1,0))</f>
        <v>1</v>
      </c>
      <c r="AG447" s="18">
        <f>IF(DataTable[[#This Row],[explanation1]]="LS",1,IF(DataTable[[#This Row],[explanation2]]="LS",1,0))</f>
        <v>0</v>
      </c>
      <c r="AH447" s="45" t="s">
        <v>425</v>
      </c>
    </row>
    <row r="448" spans="1:34" x14ac:dyDescent="0.2">
      <c r="A448" s="22">
        <v>446</v>
      </c>
      <c r="B448" s="167" t="s">
        <v>57</v>
      </c>
      <c r="C448" s="167" t="s">
        <v>74</v>
      </c>
      <c r="D448" s="167">
        <v>50</v>
      </c>
      <c r="E448" s="23" t="s">
        <v>46</v>
      </c>
      <c r="F448" s="25">
        <v>18</v>
      </c>
      <c r="G448" s="23" t="s">
        <v>47</v>
      </c>
      <c r="H448" s="24" t="s">
        <v>48</v>
      </c>
      <c r="I448" s="25" t="str">
        <f t="shared" si="6"/>
        <v>R</v>
      </c>
      <c r="J448" s="167" t="s">
        <v>78</v>
      </c>
      <c r="K448" s="25" t="s">
        <v>49</v>
      </c>
      <c r="L448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448" s="24">
        <f>IF(DataTable[[#This Row],[3x head (H)/tail (T)?]]=DataTable[[#This Row],[then 4th: H/T/B/0]],1,0)</f>
        <v>0</v>
      </c>
      <c r="N448" s="24">
        <f>IF(DataTable[[#This Row],[then 4th: H/T/B/0]]="B",1,0)</f>
        <v>0</v>
      </c>
      <c r="O448" s="23" t="s">
        <v>438</v>
      </c>
      <c r="P448" s="167">
        <v>21</v>
      </c>
      <c r="Q448" s="168" t="s">
        <v>118</v>
      </c>
      <c r="R448" s="25" t="s">
        <v>58</v>
      </c>
      <c r="S448" s="27" t="s">
        <v>75</v>
      </c>
      <c r="T448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48" s="28" t="s">
        <v>76</v>
      </c>
      <c r="V448" s="29" t="s">
        <v>6</v>
      </c>
      <c r="W448" s="29"/>
      <c r="X448" s="27"/>
      <c r="Y448" s="27">
        <f>IF(DataTable[[#This Row],[explanation1]]="BL",1,IF(DataTable[[#This Row],[explanation2]]="BL",1,IF(DataTable[[#This Row],[explanation1]]="BR",1,IF(DataTable[[#This Row],[explanation2]]="BR",1,0))))</f>
        <v>1</v>
      </c>
      <c r="Z448" s="18">
        <f>IF(DataTable[[#This Row],[explanation1]]="BL",1,IF(DataTable[[#This Row],[explanation2]]="BL",1,0))</f>
        <v>1</v>
      </c>
      <c r="AA448" s="18">
        <f>IF(DataTable[[#This Row],[explanation1]]="WJ",1,IF(DataTable[[#This Row],[explanation2]]="WJ",1,0))</f>
        <v>0</v>
      </c>
      <c r="AB448" s="18">
        <f>IF(DataTable[[#This Row],[explanation1]]="U",1,IF(DataTable[[#This Row],[explanation2]]="U",1,0))</f>
        <v>0</v>
      </c>
      <c r="AC448" s="18">
        <f>IF(DataTable[[#This Row],[explanation1]]="O",1,IF(DataTable[[#This Row],[explanation2]]="O",1,0))</f>
        <v>0</v>
      </c>
      <c r="AD448" s="18">
        <f>IF(DataTable[[#This Row],[explanation1]]="TP",1,IF(DataTable[[#This Row],[explanation2]]="TP",1,0))</f>
        <v>0</v>
      </c>
      <c r="AE448" s="18">
        <f>IF(DataTable[[#This Row],[explanation1]]="WP",1,IF(DataTable[[#This Row],[explanation2]]="WP",1,0))</f>
        <v>0</v>
      </c>
      <c r="AF448" s="18">
        <f>IF(DataTable[[#This Row],[explanation1]]="BR",1,IF(DataTable[[#This Row],[explanation2]]="BR",1,0))</f>
        <v>0</v>
      </c>
      <c r="AG448" s="18">
        <f>IF(DataTable[[#This Row],[explanation1]]="LS",1,IF(DataTable[[#This Row],[explanation2]]="LS",1,0))</f>
        <v>0</v>
      </c>
      <c r="AH448" s="45" t="s">
        <v>6</v>
      </c>
    </row>
    <row r="449" spans="1:34" x14ac:dyDescent="0.2">
      <c r="A449" s="13">
        <v>447</v>
      </c>
      <c r="B449" s="167" t="s">
        <v>57</v>
      </c>
      <c r="C449" s="167" t="s">
        <v>45</v>
      </c>
      <c r="D449" s="167">
        <v>50</v>
      </c>
      <c r="E449" s="14" t="s">
        <v>46</v>
      </c>
      <c r="F449" s="16">
        <v>22</v>
      </c>
      <c r="G449" s="14" t="s">
        <v>57</v>
      </c>
      <c r="H449" s="15" t="s">
        <v>48</v>
      </c>
      <c r="I449" s="16" t="str">
        <f t="shared" si="6"/>
        <v>H1</v>
      </c>
      <c r="J449" s="167" t="s">
        <v>78</v>
      </c>
      <c r="K449" s="16" t="s">
        <v>50</v>
      </c>
      <c r="L449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49" s="15">
        <f>IF(DataTable[[#This Row],[3x head (H)/tail (T)?]]=DataTable[[#This Row],[then 4th: H/T/B/0]],1,0)</f>
        <v>0</v>
      </c>
      <c r="N449" s="15">
        <f>IF(DataTable[[#This Row],[then 4th: H/T/B/0]]="B",1,0)</f>
        <v>1</v>
      </c>
      <c r="O449" s="14" t="s">
        <v>438</v>
      </c>
      <c r="P449" s="167">
        <v>21</v>
      </c>
      <c r="Q449" s="169" t="s">
        <v>118</v>
      </c>
      <c r="R449" s="16" t="s">
        <v>58</v>
      </c>
      <c r="S449" s="18" t="s">
        <v>75</v>
      </c>
      <c r="T449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49" s="19" t="s">
        <v>76</v>
      </c>
      <c r="V449" s="20" t="s">
        <v>7</v>
      </c>
      <c r="W449" s="20"/>
      <c r="X449" s="18"/>
      <c r="Y449" s="18">
        <f>IF(DataTable[[#This Row],[explanation1]]="BL",1,IF(DataTable[[#This Row],[explanation2]]="BL",1,IF(DataTable[[#This Row],[explanation1]]="BR",1,IF(DataTable[[#This Row],[explanation2]]="BR",1,0))))</f>
        <v>0</v>
      </c>
      <c r="Z449" s="18">
        <f>IF(DataTable[[#This Row],[explanation1]]="BL",1,IF(DataTable[[#This Row],[explanation2]]="BL",1,0))</f>
        <v>0</v>
      </c>
      <c r="AA449" s="18">
        <f>IF(DataTable[[#This Row],[explanation1]]="WJ",1,IF(DataTable[[#This Row],[explanation2]]="WJ",1,0))</f>
        <v>1</v>
      </c>
      <c r="AB449" s="18">
        <f>IF(DataTable[[#This Row],[explanation1]]="U",1,IF(DataTable[[#This Row],[explanation2]]="U",1,0))</f>
        <v>0</v>
      </c>
      <c r="AC449" s="18">
        <f>IF(DataTable[[#This Row],[explanation1]]="O",1,IF(DataTable[[#This Row],[explanation2]]="O",1,0))</f>
        <v>0</v>
      </c>
      <c r="AD449" s="18">
        <f>IF(DataTable[[#This Row],[explanation1]]="TP",1,IF(DataTable[[#This Row],[explanation2]]="TP",1,0))</f>
        <v>0</v>
      </c>
      <c r="AE449" s="18">
        <f>IF(DataTable[[#This Row],[explanation1]]="WP",1,IF(DataTable[[#This Row],[explanation2]]="WP",1,0))</f>
        <v>0</v>
      </c>
      <c r="AF449" s="18">
        <f>IF(DataTable[[#This Row],[explanation1]]="BR",1,IF(DataTable[[#This Row],[explanation2]]="BR",1,0))</f>
        <v>0</v>
      </c>
      <c r="AG449" s="18">
        <f>IF(DataTable[[#This Row],[explanation1]]="LS",1,IF(DataTable[[#This Row],[explanation2]]="LS",1,0))</f>
        <v>0</v>
      </c>
      <c r="AH449" s="45" t="s">
        <v>7</v>
      </c>
    </row>
    <row r="450" spans="1:34" x14ac:dyDescent="0.2">
      <c r="A450" s="22">
        <v>448</v>
      </c>
      <c r="B450" s="167" t="s">
        <v>68</v>
      </c>
      <c r="C450" s="167" t="s">
        <v>74</v>
      </c>
      <c r="D450" s="167">
        <v>50</v>
      </c>
      <c r="E450" s="23" t="s">
        <v>46</v>
      </c>
      <c r="F450" s="25">
        <v>20</v>
      </c>
      <c r="G450" s="23" t="s">
        <v>68</v>
      </c>
      <c r="H450" s="24" t="s">
        <v>48</v>
      </c>
      <c r="I450" s="25" t="str">
        <f t="shared" si="6"/>
        <v>H5</v>
      </c>
      <c r="J450" s="167" t="s">
        <v>78</v>
      </c>
      <c r="K450" s="25" t="s">
        <v>49</v>
      </c>
      <c r="L450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450" s="24">
        <f>IF(DataTable[[#This Row],[3x head (H)/tail (T)?]]=DataTable[[#This Row],[then 4th: H/T/B/0]],1,0)</f>
        <v>0</v>
      </c>
      <c r="N450" s="24">
        <f>IF(DataTable[[#This Row],[then 4th: H/T/B/0]]="B",1,0)</f>
        <v>0</v>
      </c>
      <c r="O450" s="23" t="s">
        <v>438</v>
      </c>
      <c r="P450" s="167">
        <v>21</v>
      </c>
      <c r="Q450" s="168" t="s">
        <v>118</v>
      </c>
      <c r="R450" s="25" t="s">
        <v>58</v>
      </c>
      <c r="S450" s="27" t="s">
        <v>75</v>
      </c>
      <c r="T450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50" s="28" t="s">
        <v>76</v>
      </c>
      <c r="V450" s="29" t="s">
        <v>11</v>
      </c>
      <c r="W450" s="29"/>
      <c r="X450" s="27"/>
      <c r="Y450" s="27">
        <f>IF(DataTable[[#This Row],[explanation1]]="BL",1,IF(DataTable[[#This Row],[explanation2]]="BL",1,IF(DataTable[[#This Row],[explanation1]]="BR",1,IF(DataTable[[#This Row],[explanation2]]="BR",1,0))))</f>
        <v>0</v>
      </c>
      <c r="Z450" s="18">
        <f>IF(DataTable[[#This Row],[explanation1]]="BL",1,IF(DataTable[[#This Row],[explanation2]]="BL",1,0))</f>
        <v>0</v>
      </c>
      <c r="AA450" s="18">
        <f>IF(DataTable[[#This Row],[explanation1]]="WJ",1,IF(DataTable[[#This Row],[explanation2]]="WJ",1,0))</f>
        <v>0</v>
      </c>
      <c r="AB450" s="18">
        <f>IF(DataTable[[#This Row],[explanation1]]="U",1,IF(DataTable[[#This Row],[explanation2]]="U",1,0))</f>
        <v>0</v>
      </c>
      <c r="AC450" s="18">
        <f>IF(DataTable[[#This Row],[explanation1]]="O",1,IF(DataTable[[#This Row],[explanation2]]="O",1,0))</f>
        <v>0</v>
      </c>
      <c r="AD450" s="18">
        <f>IF(DataTable[[#This Row],[explanation1]]="TP",1,IF(DataTable[[#This Row],[explanation2]]="TP",1,0))</f>
        <v>0</v>
      </c>
      <c r="AE450" s="18">
        <f>IF(DataTable[[#This Row],[explanation1]]="WP",1,IF(DataTable[[#This Row],[explanation2]]="WP",1,0))</f>
        <v>1</v>
      </c>
      <c r="AF450" s="18">
        <f>IF(DataTable[[#This Row],[explanation1]]="BR",1,IF(DataTable[[#This Row],[explanation2]]="BR",1,0))</f>
        <v>0</v>
      </c>
      <c r="AG450" s="18">
        <f>IF(DataTable[[#This Row],[explanation1]]="LS",1,IF(DataTable[[#This Row],[explanation2]]="LS",1,0))</f>
        <v>0</v>
      </c>
      <c r="AH450" s="45" t="s">
        <v>11</v>
      </c>
    </row>
    <row r="451" spans="1:34" x14ac:dyDescent="0.2">
      <c r="A451" s="13">
        <v>449</v>
      </c>
      <c r="B451" s="167" t="s">
        <v>68</v>
      </c>
      <c r="C451" s="167" t="s">
        <v>74</v>
      </c>
      <c r="D451" s="167">
        <v>50</v>
      </c>
      <c r="E451" s="14" t="s">
        <v>46</v>
      </c>
      <c r="F451" s="16">
        <v>24</v>
      </c>
      <c r="G451" s="14" t="s">
        <v>47</v>
      </c>
      <c r="H451" s="15" t="s">
        <v>81</v>
      </c>
      <c r="I451" s="16" t="str">
        <f t="shared" ref="I451:I474" si="7">IF(H451="NIE",G451,IF(G451="R",B451,"R"))</f>
        <v>H5</v>
      </c>
      <c r="J451" s="167" t="s">
        <v>78</v>
      </c>
      <c r="K451" s="16">
        <v>0</v>
      </c>
      <c r="L451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51" s="15">
        <f>IF(DataTable[[#This Row],[3x head (H)/tail (T)?]]=DataTable[[#This Row],[then 4th: H/T/B/0]],1,0)</f>
        <v>0</v>
      </c>
      <c r="N451" s="15">
        <f>IF(DataTable[[#This Row],[then 4th: H/T/B/0]]="B",1,0)</f>
        <v>0</v>
      </c>
      <c r="O451" s="14" t="s">
        <v>438</v>
      </c>
      <c r="P451" s="167">
        <v>21</v>
      </c>
      <c r="Q451" s="169" t="s">
        <v>118</v>
      </c>
      <c r="R451" s="16" t="s">
        <v>58</v>
      </c>
      <c r="S451" s="18" t="s">
        <v>75</v>
      </c>
      <c r="T451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51" s="19" t="s">
        <v>76</v>
      </c>
      <c r="V451" s="20" t="s">
        <v>7</v>
      </c>
      <c r="W451" s="20"/>
      <c r="X451" s="18"/>
      <c r="Y451" s="18">
        <f>IF(DataTable[[#This Row],[explanation1]]="BL",1,IF(DataTable[[#This Row],[explanation2]]="BL",1,IF(DataTable[[#This Row],[explanation1]]="BR",1,IF(DataTable[[#This Row],[explanation2]]="BR",1,0))))</f>
        <v>0</v>
      </c>
      <c r="Z451" s="18">
        <f>IF(DataTable[[#This Row],[explanation1]]="BL",1,IF(DataTable[[#This Row],[explanation2]]="BL",1,0))</f>
        <v>0</v>
      </c>
      <c r="AA451" s="18">
        <f>IF(DataTable[[#This Row],[explanation1]]="WJ",1,IF(DataTable[[#This Row],[explanation2]]="WJ",1,0))</f>
        <v>1</v>
      </c>
      <c r="AB451" s="18">
        <f>IF(DataTable[[#This Row],[explanation1]]="U",1,IF(DataTable[[#This Row],[explanation2]]="U",1,0))</f>
        <v>0</v>
      </c>
      <c r="AC451" s="18">
        <f>IF(DataTable[[#This Row],[explanation1]]="O",1,IF(DataTable[[#This Row],[explanation2]]="O",1,0))</f>
        <v>0</v>
      </c>
      <c r="AD451" s="18">
        <f>IF(DataTable[[#This Row],[explanation1]]="TP",1,IF(DataTable[[#This Row],[explanation2]]="TP",1,0))</f>
        <v>0</v>
      </c>
      <c r="AE451" s="18">
        <f>IF(DataTable[[#This Row],[explanation1]]="WP",1,IF(DataTable[[#This Row],[explanation2]]="WP",1,0))</f>
        <v>0</v>
      </c>
      <c r="AF451" s="18">
        <f>IF(DataTable[[#This Row],[explanation1]]="BR",1,IF(DataTable[[#This Row],[explanation2]]="BR",1,0))</f>
        <v>0</v>
      </c>
      <c r="AG451" s="18">
        <f>IF(DataTable[[#This Row],[explanation1]]="LS",1,IF(DataTable[[#This Row],[explanation2]]="LS",1,0))</f>
        <v>0</v>
      </c>
      <c r="AH451" s="45" t="s">
        <v>426</v>
      </c>
    </row>
    <row r="452" spans="1:34" x14ac:dyDescent="0.2">
      <c r="A452" s="22">
        <v>450</v>
      </c>
      <c r="B452" s="167" t="s">
        <v>68</v>
      </c>
      <c r="C452" s="167" t="s">
        <v>74</v>
      </c>
      <c r="D452" s="167">
        <v>50</v>
      </c>
      <c r="E452" s="23" t="s">
        <v>58</v>
      </c>
      <c r="F452" s="25">
        <v>52</v>
      </c>
      <c r="G452" s="23" t="s">
        <v>47</v>
      </c>
      <c r="H452" s="24" t="s">
        <v>48</v>
      </c>
      <c r="I452" s="25" t="str">
        <f t="shared" si="7"/>
        <v>R</v>
      </c>
      <c r="J452" s="167" t="s">
        <v>49</v>
      </c>
      <c r="K452" s="25" t="s">
        <v>78</v>
      </c>
      <c r="L452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452" s="24">
        <f>IF(DataTable[[#This Row],[3x head (H)/tail (T)?]]=DataTable[[#This Row],[then 4th: H/T/B/0]],1,0)</f>
        <v>0</v>
      </c>
      <c r="N452" s="24">
        <f>IF(DataTable[[#This Row],[then 4th: H/T/B/0]]="B",1,0)</f>
        <v>0</v>
      </c>
      <c r="O452" s="23" t="s">
        <v>438</v>
      </c>
      <c r="P452" s="167">
        <v>21</v>
      </c>
      <c r="Q452" s="168" t="s">
        <v>118</v>
      </c>
      <c r="R452" s="25" t="s">
        <v>58</v>
      </c>
      <c r="S452" s="27" t="s">
        <v>75</v>
      </c>
      <c r="T452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52" s="28" t="s">
        <v>76</v>
      </c>
      <c r="V452" s="29" t="s">
        <v>9</v>
      </c>
      <c r="W452" s="29"/>
      <c r="X452" s="27"/>
      <c r="Y452" s="27">
        <f>IF(DataTable[[#This Row],[explanation1]]="BL",1,IF(DataTable[[#This Row],[explanation2]]="BL",1,IF(DataTable[[#This Row],[explanation1]]="BR",1,IF(DataTable[[#This Row],[explanation2]]="BR",1,0))))</f>
        <v>0</v>
      </c>
      <c r="Z452" s="18">
        <f>IF(DataTable[[#This Row],[explanation1]]="BL",1,IF(DataTable[[#This Row],[explanation2]]="BL",1,0))</f>
        <v>0</v>
      </c>
      <c r="AA452" s="18">
        <f>IF(DataTable[[#This Row],[explanation1]]="WJ",1,IF(DataTable[[#This Row],[explanation2]]="WJ",1,0))</f>
        <v>0</v>
      </c>
      <c r="AB452" s="18">
        <f>IF(DataTable[[#This Row],[explanation1]]="U",1,IF(DataTable[[#This Row],[explanation2]]="U",1,0))</f>
        <v>0</v>
      </c>
      <c r="AC452" s="18">
        <f>IF(DataTable[[#This Row],[explanation1]]="O",1,IF(DataTable[[#This Row],[explanation2]]="O",1,0))</f>
        <v>1</v>
      </c>
      <c r="AD452" s="18">
        <f>IF(DataTable[[#This Row],[explanation1]]="TP",1,IF(DataTable[[#This Row],[explanation2]]="TP",1,0))</f>
        <v>0</v>
      </c>
      <c r="AE452" s="18">
        <f>IF(DataTable[[#This Row],[explanation1]]="WP",1,IF(DataTable[[#This Row],[explanation2]]="WP",1,0))</f>
        <v>0</v>
      </c>
      <c r="AF452" s="18">
        <f>IF(DataTable[[#This Row],[explanation1]]="BR",1,IF(DataTable[[#This Row],[explanation2]]="BR",1,0))</f>
        <v>0</v>
      </c>
      <c r="AG452" s="18">
        <f>IF(DataTable[[#This Row],[explanation1]]="LS",1,IF(DataTable[[#This Row],[explanation2]]="LS",1,0))</f>
        <v>0</v>
      </c>
      <c r="AH452" s="45" t="s">
        <v>9</v>
      </c>
    </row>
    <row r="453" spans="1:34" x14ac:dyDescent="0.2">
      <c r="A453" s="13">
        <v>451</v>
      </c>
      <c r="B453" s="167" t="s">
        <v>68</v>
      </c>
      <c r="C453" s="167" t="s">
        <v>45</v>
      </c>
      <c r="D453" s="167">
        <v>50</v>
      </c>
      <c r="E453" s="14" t="s">
        <v>46</v>
      </c>
      <c r="F453" s="16">
        <v>37</v>
      </c>
      <c r="G453" s="14" t="s">
        <v>47</v>
      </c>
      <c r="H453" s="15" t="s">
        <v>81</v>
      </c>
      <c r="I453" s="16" t="str">
        <f t="shared" si="7"/>
        <v>H5</v>
      </c>
      <c r="J453" s="167" t="s">
        <v>78</v>
      </c>
      <c r="K453" s="16" t="s">
        <v>50</v>
      </c>
      <c r="L453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53" s="15">
        <f>IF(DataTable[[#This Row],[3x head (H)/tail (T)?]]=DataTable[[#This Row],[then 4th: H/T/B/0]],1,0)</f>
        <v>0</v>
      </c>
      <c r="N453" s="15">
        <f>IF(DataTable[[#This Row],[then 4th: H/T/B/0]]="B",1,0)</f>
        <v>1</v>
      </c>
      <c r="O453" s="14" t="s">
        <v>438</v>
      </c>
      <c r="P453" s="167">
        <v>21</v>
      </c>
      <c r="Q453" s="169" t="s">
        <v>118</v>
      </c>
      <c r="R453" s="16" t="s">
        <v>58</v>
      </c>
      <c r="S453" s="18" t="s">
        <v>75</v>
      </c>
      <c r="T453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53" s="19" t="s">
        <v>76</v>
      </c>
      <c r="V453" s="20" t="s">
        <v>6</v>
      </c>
      <c r="W453" s="20"/>
      <c r="X453" s="18"/>
      <c r="Y453" s="18">
        <f>IF(DataTable[[#This Row],[explanation1]]="BL",1,IF(DataTable[[#This Row],[explanation2]]="BL",1,IF(DataTable[[#This Row],[explanation1]]="BR",1,IF(DataTable[[#This Row],[explanation2]]="BR",1,0))))</f>
        <v>1</v>
      </c>
      <c r="Z453" s="18">
        <f>IF(DataTable[[#This Row],[explanation1]]="BL",1,IF(DataTable[[#This Row],[explanation2]]="BL",1,0))</f>
        <v>1</v>
      </c>
      <c r="AA453" s="18">
        <f>IF(DataTable[[#This Row],[explanation1]]="WJ",1,IF(DataTable[[#This Row],[explanation2]]="WJ",1,0))</f>
        <v>0</v>
      </c>
      <c r="AB453" s="18">
        <f>IF(DataTable[[#This Row],[explanation1]]="U",1,IF(DataTable[[#This Row],[explanation2]]="U",1,0))</f>
        <v>0</v>
      </c>
      <c r="AC453" s="18">
        <f>IF(DataTable[[#This Row],[explanation1]]="O",1,IF(DataTable[[#This Row],[explanation2]]="O",1,0))</f>
        <v>0</v>
      </c>
      <c r="AD453" s="18">
        <f>IF(DataTable[[#This Row],[explanation1]]="TP",1,IF(DataTable[[#This Row],[explanation2]]="TP",1,0))</f>
        <v>0</v>
      </c>
      <c r="AE453" s="18">
        <f>IF(DataTable[[#This Row],[explanation1]]="WP",1,IF(DataTable[[#This Row],[explanation2]]="WP",1,0))</f>
        <v>0</v>
      </c>
      <c r="AF453" s="18">
        <f>IF(DataTable[[#This Row],[explanation1]]="BR",1,IF(DataTable[[#This Row],[explanation2]]="BR",1,0))</f>
        <v>0</v>
      </c>
      <c r="AG453" s="18">
        <f>IF(DataTable[[#This Row],[explanation1]]="LS",1,IF(DataTable[[#This Row],[explanation2]]="LS",1,0))</f>
        <v>0</v>
      </c>
      <c r="AH453" s="45" t="s">
        <v>6</v>
      </c>
    </row>
    <row r="454" spans="1:34" x14ac:dyDescent="0.2">
      <c r="A454" s="22">
        <v>452</v>
      </c>
      <c r="B454" s="167" t="s">
        <v>68</v>
      </c>
      <c r="C454" s="167" t="s">
        <v>45</v>
      </c>
      <c r="D454" s="167">
        <v>50</v>
      </c>
      <c r="E454" s="23" t="s">
        <v>46</v>
      </c>
      <c r="F454" s="25">
        <v>44</v>
      </c>
      <c r="G454" s="23" t="s">
        <v>47</v>
      </c>
      <c r="H454" s="24" t="s">
        <v>48</v>
      </c>
      <c r="I454" s="25" t="str">
        <f t="shared" si="7"/>
        <v>R</v>
      </c>
      <c r="J454" s="167" t="s">
        <v>49</v>
      </c>
      <c r="K454" s="25" t="s">
        <v>50</v>
      </c>
      <c r="L454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54" s="24">
        <f>IF(DataTable[[#This Row],[3x head (H)/tail (T)?]]=DataTable[[#This Row],[then 4th: H/T/B/0]],1,0)</f>
        <v>0</v>
      </c>
      <c r="N454" s="24">
        <f>IF(DataTable[[#This Row],[then 4th: H/T/B/0]]="B",1,0)</f>
        <v>1</v>
      </c>
      <c r="O454" s="23" t="s">
        <v>438</v>
      </c>
      <c r="P454" s="167">
        <v>21</v>
      </c>
      <c r="Q454" s="168" t="s">
        <v>118</v>
      </c>
      <c r="R454" s="25" t="s">
        <v>58</v>
      </c>
      <c r="S454" s="27" t="s">
        <v>61</v>
      </c>
      <c r="T454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4</v>
      </c>
      <c r="U454" s="28" t="s">
        <v>173</v>
      </c>
      <c r="V454" s="29" t="s">
        <v>12</v>
      </c>
      <c r="W454" s="29"/>
      <c r="X454" s="27"/>
      <c r="Y454" s="27">
        <f>IF(DataTable[[#This Row],[explanation1]]="BL",1,IF(DataTable[[#This Row],[explanation2]]="BL",1,IF(DataTable[[#This Row],[explanation1]]="BR",1,IF(DataTable[[#This Row],[explanation2]]="BR",1,0))))</f>
        <v>1</v>
      </c>
      <c r="Z454" s="18">
        <f>IF(DataTable[[#This Row],[explanation1]]="BL",1,IF(DataTable[[#This Row],[explanation2]]="BL",1,0))</f>
        <v>0</v>
      </c>
      <c r="AA454" s="18">
        <f>IF(DataTable[[#This Row],[explanation1]]="WJ",1,IF(DataTable[[#This Row],[explanation2]]="WJ",1,0))</f>
        <v>0</v>
      </c>
      <c r="AB454" s="18">
        <f>IF(DataTable[[#This Row],[explanation1]]="U",1,IF(DataTable[[#This Row],[explanation2]]="U",1,0))</f>
        <v>0</v>
      </c>
      <c r="AC454" s="18">
        <f>IF(DataTable[[#This Row],[explanation1]]="O",1,IF(DataTable[[#This Row],[explanation2]]="O",1,0))</f>
        <v>0</v>
      </c>
      <c r="AD454" s="18">
        <f>IF(DataTable[[#This Row],[explanation1]]="TP",1,IF(DataTable[[#This Row],[explanation2]]="TP",1,0))</f>
        <v>0</v>
      </c>
      <c r="AE454" s="18">
        <f>IF(DataTable[[#This Row],[explanation1]]="WP",1,IF(DataTable[[#This Row],[explanation2]]="WP",1,0))</f>
        <v>0</v>
      </c>
      <c r="AF454" s="18">
        <f>IF(DataTable[[#This Row],[explanation1]]="BR",1,IF(DataTable[[#This Row],[explanation2]]="BR",1,0))</f>
        <v>1</v>
      </c>
      <c r="AG454" s="18">
        <f>IF(DataTable[[#This Row],[explanation1]]="LS",1,IF(DataTable[[#This Row],[explanation2]]="LS",1,0))</f>
        <v>0</v>
      </c>
      <c r="AH454" s="45" t="s">
        <v>12</v>
      </c>
    </row>
    <row r="455" spans="1:34" x14ac:dyDescent="0.2">
      <c r="A455" s="13">
        <v>453</v>
      </c>
      <c r="B455" s="167" t="s">
        <v>68</v>
      </c>
      <c r="C455" s="167" t="s">
        <v>45</v>
      </c>
      <c r="D455" s="167">
        <v>1</v>
      </c>
      <c r="E455" s="14" t="s">
        <v>58</v>
      </c>
      <c r="F455" s="16">
        <v>22</v>
      </c>
      <c r="G455" s="14" t="s">
        <v>68</v>
      </c>
      <c r="H455" s="15" t="s">
        <v>81</v>
      </c>
      <c r="I455" s="16" t="str">
        <f t="shared" si="7"/>
        <v>R</v>
      </c>
      <c r="J455" s="167" t="s">
        <v>49</v>
      </c>
      <c r="K455" s="16" t="s">
        <v>50</v>
      </c>
      <c r="L455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55" s="15">
        <f>IF(DataTable[[#This Row],[3x head (H)/tail (T)?]]=DataTable[[#This Row],[then 4th: H/T/B/0]],1,0)</f>
        <v>0</v>
      </c>
      <c r="N455" s="15">
        <f>IF(DataTable[[#This Row],[then 4th: H/T/B/0]]="B",1,0)</f>
        <v>1</v>
      </c>
      <c r="O455" s="14" t="s">
        <v>438</v>
      </c>
      <c r="P455" s="167">
        <v>21</v>
      </c>
      <c r="Q455" s="169" t="s">
        <v>118</v>
      </c>
      <c r="R455" s="16" t="s">
        <v>58</v>
      </c>
      <c r="S455" s="18" t="s">
        <v>75</v>
      </c>
      <c r="T455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55" s="19" t="s">
        <v>76</v>
      </c>
      <c r="V455" s="20" t="s">
        <v>7</v>
      </c>
      <c r="W455" s="20"/>
      <c r="X455" s="18"/>
      <c r="Y455" s="18">
        <f>IF(DataTable[[#This Row],[explanation1]]="BL",1,IF(DataTable[[#This Row],[explanation2]]="BL",1,IF(DataTable[[#This Row],[explanation1]]="BR",1,IF(DataTable[[#This Row],[explanation2]]="BR",1,0))))</f>
        <v>0</v>
      </c>
      <c r="Z455" s="18">
        <f>IF(DataTable[[#This Row],[explanation1]]="BL",1,IF(DataTable[[#This Row],[explanation2]]="BL",1,0))</f>
        <v>0</v>
      </c>
      <c r="AA455" s="18">
        <f>IF(DataTable[[#This Row],[explanation1]]="WJ",1,IF(DataTable[[#This Row],[explanation2]]="WJ",1,0))</f>
        <v>1</v>
      </c>
      <c r="AB455" s="18">
        <f>IF(DataTable[[#This Row],[explanation1]]="U",1,IF(DataTable[[#This Row],[explanation2]]="U",1,0))</f>
        <v>0</v>
      </c>
      <c r="AC455" s="18">
        <f>IF(DataTable[[#This Row],[explanation1]]="O",1,IF(DataTable[[#This Row],[explanation2]]="O",1,0))</f>
        <v>0</v>
      </c>
      <c r="AD455" s="18">
        <f>IF(DataTable[[#This Row],[explanation1]]="TP",1,IF(DataTable[[#This Row],[explanation2]]="TP",1,0))</f>
        <v>0</v>
      </c>
      <c r="AE455" s="18">
        <f>IF(DataTable[[#This Row],[explanation1]]="WP",1,IF(DataTable[[#This Row],[explanation2]]="WP",1,0))</f>
        <v>0</v>
      </c>
      <c r="AF455" s="18">
        <f>IF(DataTable[[#This Row],[explanation1]]="BR",1,IF(DataTable[[#This Row],[explanation2]]="BR",1,0))</f>
        <v>0</v>
      </c>
      <c r="AG455" s="18">
        <f>IF(DataTable[[#This Row],[explanation1]]="LS",1,IF(DataTable[[#This Row],[explanation2]]="LS",1,0))</f>
        <v>0</v>
      </c>
      <c r="AH455" s="45" t="s">
        <v>7</v>
      </c>
    </row>
    <row r="456" spans="1:34" x14ac:dyDescent="0.2">
      <c r="A456" s="22">
        <v>454</v>
      </c>
      <c r="B456" s="167" t="s">
        <v>68</v>
      </c>
      <c r="C456" s="167" t="s">
        <v>74</v>
      </c>
      <c r="D456" s="167">
        <v>1</v>
      </c>
      <c r="E456" s="23" t="s">
        <v>58</v>
      </c>
      <c r="F456" s="25">
        <v>62</v>
      </c>
      <c r="G456" s="23" t="s">
        <v>47</v>
      </c>
      <c r="H456" s="24" t="s">
        <v>48</v>
      </c>
      <c r="I456" s="25" t="str">
        <f t="shared" si="7"/>
        <v>R</v>
      </c>
      <c r="J456" s="167" t="s">
        <v>49</v>
      </c>
      <c r="K456" s="25" t="s">
        <v>78</v>
      </c>
      <c r="L456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456" s="24">
        <f>IF(DataTable[[#This Row],[3x head (H)/tail (T)?]]=DataTable[[#This Row],[then 4th: H/T/B/0]],1,0)</f>
        <v>0</v>
      </c>
      <c r="N456" s="24">
        <f>IF(DataTable[[#This Row],[then 4th: H/T/B/0]]="B",1,0)</f>
        <v>0</v>
      </c>
      <c r="O456" s="23" t="s">
        <v>438</v>
      </c>
      <c r="P456" s="167">
        <v>21</v>
      </c>
      <c r="Q456" s="168" t="s">
        <v>118</v>
      </c>
      <c r="R456" s="25" t="s">
        <v>58</v>
      </c>
      <c r="S456" s="27" t="s">
        <v>103</v>
      </c>
      <c r="T456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5</v>
      </c>
      <c r="U456" s="28" t="s">
        <v>333</v>
      </c>
      <c r="V456" s="29" t="s">
        <v>8</v>
      </c>
      <c r="W456" s="29"/>
      <c r="X456" s="27"/>
      <c r="Y456" s="27">
        <f>IF(DataTable[[#This Row],[explanation1]]="BL",1,IF(DataTable[[#This Row],[explanation2]]="BL",1,IF(DataTable[[#This Row],[explanation1]]="BR",1,IF(DataTable[[#This Row],[explanation2]]="BR",1,0))))</f>
        <v>0</v>
      </c>
      <c r="Z456" s="18">
        <f>IF(DataTable[[#This Row],[explanation1]]="BL",1,IF(DataTable[[#This Row],[explanation2]]="BL",1,0))</f>
        <v>0</v>
      </c>
      <c r="AA456" s="18">
        <f>IF(DataTable[[#This Row],[explanation1]]="WJ",1,IF(DataTable[[#This Row],[explanation2]]="WJ",1,0))</f>
        <v>0</v>
      </c>
      <c r="AB456" s="18">
        <f>IF(DataTable[[#This Row],[explanation1]]="U",1,IF(DataTable[[#This Row],[explanation2]]="U",1,0))</f>
        <v>1</v>
      </c>
      <c r="AC456" s="18">
        <f>IF(DataTable[[#This Row],[explanation1]]="O",1,IF(DataTable[[#This Row],[explanation2]]="O",1,0))</f>
        <v>0</v>
      </c>
      <c r="AD456" s="18">
        <f>IF(DataTable[[#This Row],[explanation1]]="TP",1,IF(DataTable[[#This Row],[explanation2]]="TP",1,0))</f>
        <v>0</v>
      </c>
      <c r="AE456" s="18">
        <f>IF(DataTable[[#This Row],[explanation1]]="WP",1,IF(DataTable[[#This Row],[explanation2]]="WP",1,0))</f>
        <v>0</v>
      </c>
      <c r="AF456" s="18">
        <f>IF(DataTable[[#This Row],[explanation1]]="BR",1,IF(DataTable[[#This Row],[explanation2]]="BR",1,0))</f>
        <v>0</v>
      </c>
      <c r="AG456" s="18">
        <f>IF(DataTable[[#This Row],[explanation1]]="LS",1,IF(DataTable[[#This Row],[explanation2]]="LS",1,0))</f>
        <v>0</v>
      </c>
      <c r="AH456" s="45" t="s">
        <v>8</v>
      </c>
    </row>
    <row r="457" spans="1:34" x14ac:dyDescent="0.2">
      <c r="A457" s="13">
        <v>455</v>
      </c>
      <c r="B457" s="167" t="s">
        <v>68</v>
      </c>
      <c r="C457" s="167" t="s">
        <v>74</v>
      </c>
      <c r="D457" s="167">
        <v>1</v>
      </c>
      <c r="E457" s="14" t="s">
        <v>58</v>
      </c>
      <c r="F457" s="16">
        <v>18</v>
      </c>
      <c r="G457" s="14" t="s">
        <v>47</v>
      </c>
      <c r="H457" s="15" t="s">
        <v>81</v>
      </c>
      <c r="I457" s="16" t="str">
        <f t="shared" si="7"/>
        <v>H5</v>
      </c>
      <c r="J457" s="167" t="s">
        <v>78</v>
      </c>
      <c r="K457" s="16" t="s">
        <v>78</v>
      </c>
      <c r="L457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57" s="15">
        <f>IF(DataTable[[#This Row],[3x head (H)/tail (T)?]]=DataTable[[#This Row],[then 4th: H/T/B/0]],1,0)</f>
        <v>1</v>
      </c>
      <c r="N457" s="15">
        <f>IF(DataTable[[#This Row],[then 4th: H/T/B/0]]="B",1,0)</f>
        <v>0</v>
      </c>
      <c r="O457" s="14" t="s">
        <v>438</v>
      </c>
      <c r="P457" s="167">
        <v>21</v>
      </c>
      <c r="Q457" s="169" t="s">
        <v>118</v>
      </c>
      <c r="R457" s="16" t="s">
        <v>58</v>
      </c>
      <c r="S457" s="18" t="s">
        <v>54</v>
      </c>
      <c r="T457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457" s="19" t="s">
        <v>116</v>
      </c>
      <c r="V457" s="20" t="s">
        <v>13</v>
      </c>
      <c r="W457" s="20" t="s">
        <v>8</v>
      </c>
      <c r="X457" s="18"/>
      <c r="Y457" s="18">
        <f>IF(DataTable[[#This Row],[explanation1]]="BL",1,IF(DataTable[[#This Row],[explanation2]]="BL",1,IF(DataTable[[#This Row],[explanation1]]="BR",1,IF(DataTable[[#This Row],[explanation2]]="BR",1,0))))</f>
        <v>0</v>
      </c>
      <c r="Z457" s="18">
        <f>IF(DataTable[[#This Row],[explanation1]]="BL",1,IF(DataTable[[#This Row],[explanation2]]="BL",1,0))</f>
        <v>0</v>
      </c>
      <c r="AA457" s="18">
        <f>IF(DataTable[[#This Row],[explanation1]]="WJ",1,IF(DataTable[[#This Row],[explanation2]]="WJ",1,0))</f>
        <v>0</v>
      </c>
      <c r="AB457" s="18">
        <f>IF(DataTable[[#This Row],[explanation1]]="U",1,IF(DataTable[[#This Row],[explanation2]]="U",1,0))</f>
        <v>1</v>
      </c>
      <c r="AC457" s="18">
        <f>IF(DataTable[[#This Row],[explanation1]]="O",1,IF(DataTable[[#This Row],[explanation2]]="O",1,0))</f>
        <v>0</v>
      </c>
      <c r="AD457" s="18">
        <f>IF(DataTable[[#This Row],[explanation1]]="TP",1,IF(DataTable[[#This Row],[explanation2]]="TP",1,0))</f>
        <v>0</v>
      </c>
      <c r="AE457" s="18">
        <f>IF(DataTable[[#This Row],[explanation1]]="WP",1,IF(DataTable[[#This Row],[explanation2]]="WP",1,0))</f>
        <v>0</v>
      </c>
      <c r="AF457" s="18">
        <f>IF(DataTable[[#This Row],[explanation1]]="BR",1,IF(DataTable[[#This Row],[explanation2]]="BR",1,0))</f>
        <v>0</v>
      </c>
      <c r="AG457" s="18">
        <f>IF(DataTable[[#This Row],[explanation1]]="LS",1,IF(DataTable[[#This Row],[explanation2]]="LS",1,0))</f>
        <v>1</v>
      </c>
      <c r="AH457" s="45" t="s">
        <v>427</v>
      </c>
    </row>
    <row r="458" spans="1:34" x14ac:dyDescent="0.2">
      <c r="A458" s="22">
        <v>456</v>
      </c>
      <c r="B458" s="167" t="s">
        <v>68</v>
      </c>
      <c r="C458" s="167" t="s">
        <v>74</v>
      </c>
      <c r="D458" s="167">
        <v>1</v>
      </c>
      <c r="E458" s="23" t="s">
        <v>58</v>
      </c>
      <c r="F458" s="25">
        <v>35</v>
      </c>
      <c r="G458" s="23" t="s">
        <v>47</v>
      </c>
      <c r="H458" s="24" t="s">
        <v>48</v>
      </c>
      <c r="I458" s="25" t="str">
        <f t="shared" si="7"/>
        <v>R</v>
      </c>
      <c r="J458" s="167" t="s">
        <v>78</v>
      </c>
      <c r="K458" s="25" t="s">
        <v>50</v>
      </c>
      <c r="L458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58" s="24">
        <f>IF(DataTable[[#This Row],[3x head (H)/tail (T)?]]=DataTable[[#This Row],[then 4th: H/T/B/0]],1,0)</f>
        <v>0</v>
      </c>
      <c r="N458" s="24">
        <f>IF(DataTable[[#This Row],[then 4th: H/T/B/0]]="B",1,0)</f>
        <v>1</v>
      </c>
      <c r="O458" s="23" t="s">
        <v>438</v>
      </c>
      <c r="P458" s="167">
        <v>21</v>
      </c>
      <c r="Q458" s="168" t="s">
        <v>118</v>
      </c>
      <c r="R458" s="25" t="s">
        <v>58</v>
      </c>
      <c r="S458" s="27" t="s">
        <v>54</v>
      </c>
      <c r="T458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458" s="28" t="s">
        <v>116</v>
      </c>
      <c r="V458" s="29" t="s">
        <v>7</v>
      </c>
      <c r="W458" s="29"/>
      <c r="X458" s="27"/>
      <c r="Y458" s="27">
        <f>IF(DataTable[[#This Row],[explanation1]]="BL",1,IF(DataTable[[#This Row],[explanation2]]="BL",1,IF(DataTable[[#This Row],[explanation1]]="BR",1,IF(DataTable[[#This Row],[explanation2]]="BR",1,0))))</f>
        <v>0</v>
      </c>
      <c r="Z458" s="18">
        <f>IF(DataTable[[#This Row],[explanation1]]="BL",1,IF(DataTable[[#This Row],[explanation2]]="BL",1,0))</f>
        <v>0</v>
      </c>
      <c r="AA458" s="18">
        <f>IF(DataTable[[#This Row],[explanation1]]="WJ",1,IF(DataTable[[#This Row],[explanation2]]="WJ",1,0))</f>
        <v>1</v>
      </c>
      <c r="AB458" s="18">
        <f>IF(DataTable[[#This Row],[explanation1]]="U",1,IF(DataTable[[#This Row],[explanation2]]="U",1,0))</f>
        <v>0</v>
      </c>
      <c r="AC458" s="18">
        <f>IF(DataTable[[#This Row],[explanation1]]="O",1,IF(DataTable[[#This Row],[explanation2]]="O",1,0))</f>
        <v>0</v>
      </c>
      <c r="AD458" s="18">
        <f>IF(DataTable[[#This Row],[explanation1]]="TP",1,IF(DataTable[[#This Row],[explanation2]]="TP",1,0))</f>
        <v>0</v>
      </c>
      <c r="AE458" s="18">
        <f>IF(DataTable[[#This Row],[explanation1]]="WP",1,IF(DataTable[[#This Row],[explanation2]]="WP",1,0))</f>
        <v>0</v>
      </c>
      <c r="AF458" s="18">
        <f>IF(DataTable[[#This Row],[explanation1]]="BR",1,IF(DataTable[[#This Row],[explanation2]]="BR",1,0))</f>
        <v>0</v>
      </c>
      <c r="AG458" s="18">
        <f>IF(DataTable[[#This Row],[explanation1]]="LS",1,IF(DataTable[[#This Row],[explanation2]]="LS",1,0))</f>
        <v>0</v>
      </c>
      <c r="AH458" s="45" t="s">
        <v>7</v>
      </c>
    </row>
    <row r="459" spans="1:34" x14ac:dyDescent="0.2">
      <c r="A459" s="13">
        <v>457</v>
      </c>
      <c r="B459" s="167" t="s">
        <v>64</v>
      </c>
      <c r="C459" s="167" t="s">
        <v>74</v>
      </c>
      <c r="D459" s="167">
        <v>1</v>
      </c>
      <c r="E459" s="14" t="s">
        <v>58</v>
      </c>
      <c r="F459" s="16">
        <v>63</v>
      </c>
      <c r="G459" s="14" t="s">
        <v>47</v>
      </c>
      <c r="H459" s="15" t="s">
        <v>48</v>
      </c>
      <c r="I459" s="16" t="str">
        <f t="shared" si="7"/>
        <v>R</v>
      </c>
      <c r="J459" s="167" t="s">
        <v>78</v>
      </c>
      <c r="K459" s="16" t="s">
        <v>78</v>
      </c>
      <c r="L459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59" s="15">
        <f>IF(DataTable[[#This Row],[3x head (H)/tail (T)?]]=DataTable[[#This Row],[then 4th: H/T/B/0]],1,0)</f>
        <v>1</v>
      </c>
      <c r="N459" s="15">
        <f>IF(DataTable[[#This Row],[then 4th: H/T/B/0]]="B",1,0)</f>
        <v>0</v>
      </c>
      <c r="O459" s="14" t="s">
        <v>438</v>
      </c>
      <c r="P459" s="167">
        <v>21</v>
      </c>
      <c r="Q459" s="169" t="s">
        <v>118</v>
      </c>
      <c r="R459" s="16" t="s">
        <v>58</v>
      </c>
      <c r="S459" s="18" t="s">
        <v>75</v>
      </c>
      <c r="T459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59" s="19" t="s">
        <v>76</v>
      </c>
      <c r="V459" s="20" t="s">
        <v>6</v>
      </c>
      <c r="W459" s="20"/>
      <c r="X459" s="18"/>
      <c r="Y459" s="18">
        <f>IF(DataTable[[#This Row],[explanation1]]="BL",1,IF(DataTable[[#This Row],[explanation2]]="BL",1,IF(DataTable[[#This Row],[explanation1]]="BR",1,IF(DataTable[[#This Row],[explanation2]]="BR",1,0))))</f>
        <v>1</v>
      </c>
      <c r="Z459" s="18">
        <f>IF(DataTable[[#This Row],[explanation1]]="BL",1,IF(DataTable[[#This Row],[explanation2]]="BL",1,0))</f>
        <v>1</v>
      </c>
      <c r="AA459" s="18">
        <f>IF(DataTable[[#This Row],[explanation1]]="WJ",1,IF(DataTable[[#This Row],[explanation2]]="WJ",1,0))</f>
        <v>0</v>
      </c>
      <c r="AB459" s="18">
        <f>IF(DataTable[[#This Row],[explanation1]]="U",1,IF(DataTable[[#This Row],[explanation2]]="U",1,0))</f>
        <v>0</v>
      </c>
      <c r="AC459" s="18">
        <f>IF(DataTable[[#This Row],[explanation1]]="O",1,IF(DataTable[[#This Row],[explanation2]]="O",1,0))</f>
        <v>0</v>
      </c>
      <c r="AD459" s="18">
        <f>IF(DataTable[[#This Row],[explanation1]]="TP",1,IF(DataTable[[#This Row],[explanation2]]="TP",1,0))</f>
        <v>0</v>
      </c>
      <c r="AE459" s="18">
        <f>IF(DataTable[[#This Row],[explanation1]]="WP",1,IF(DataTable[[#This Row],[explanation2]]="WP",1,0))</f>
        <v>0</v>
      </c>
      <c r="AF459" s="18">
        <f>IF(DataTable[[#This Row],[explanation1]]="BR",1,IF(DataTable[[#This Row],[explanation2]]="BR",1,0))</f>
        <v>0</v>
      </c>
      <c r="AG459" s="18">
        <f>IF(DataTable[[#This Row],[explanation1]]="LS",1,IF(DataTable[[#This Row],[explanation2]]="LS",1,0))</f>
        <v>0</v>
      </c>
      <c r="AH459" s="45" t="s">
        <v>6</v>
      </c>
    </row>
    <row r="460" spans="1:34" x14ac:dyDescent="0.2">
      <c r="A460" s="22">
        <v>458</v>
      </c>
      <c r="B460" s="167" t="s">
        <v>64</v>
      </c>
      <c r="C460" s="167" t="s">
        <v>45</v>
      </c>
      <c r="D460" s="167">
        <v>1</v>
      </c>
      <c r="E460" s="23" t="s">
        <v>58</v>
      </c>
      <c r="F460" s="25">
        <v>42</v>
      </c>
      <c r="G460" s="23" t="s">
        <v>64</v>
      </c>
      <c r="H460" s="24" t="s">
        <v>48</v>
      </c>
      <c r="I460" s="25" t="str">
        <f t="shared" si="7"/>
        <v>M1</v>
      </c>
      <c r="J460" s="167" t="s">
        <v>78</v>
      </c>
      <c r="K460" s="25" t="s">
        <v>50</v>
      </c>
      <c r="L460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60" s="24">
        <f>IF(DataTable[[#This Row],[3x head (H)/tail (T)?]]=DataTable[[#This Row],[then 4th: H/T/B/0]],1,0)</f>
        <v>0</v>
      </c>
      <c r="N460" s="24">
        <f>IF(DataTable[[#This Row],[then 4th: H/T/B/0]]="B",1,0)</f>
        <v>1</v>
      </c>
      <c r="O460" s="23" t="s">
        <v>438</v>
      </c>
      <c r="P460" s="167">
        <v>21</v>
      </c>
      <c r="Q460" s="168" t="s">
        <v>118</v>
      </c>
      <c r="R460" s="25" t="s">
        <v>58</v>
      </c>
      <c r="S460" s="27" t="s">
        <v>75</v>
      </c>
      <c r="T460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60" s="28" t="s">
        <v>76</v>
      </c>
      <c r="V460" s="29" t="s">
        <v>7</v>
      </c>
      <c r="W460" s="29"/>
      <c r="X460" s="27"/>
      <c r="Y460" s="27">
        <f>IF(DataTable[[#This Row],[explanation1]]="BL",1,IF(DataTable[[#This Row],[explanation2]]="BL",1,IF(DataTable[[#This Row],[explanation1]]="BR",1,IF(DataTable[[#This Row],[explanation2]]="BR",1,0))))</f>
        <v>0</v>
      </c>
      <c r="Z460" s="18">
        <f>IF(DataTable[[#This Row],[explanation1]]="BL",1,IF(DataTable[[#This Row],[explanation2]]="BL",1,0))</f>
        <v>0</v>
      </c>
      <c r="AA460" s="18">
        <f>IF(DataTable[[#This Row],[explanation1]]="WJ",1,IF(DataTable[[#This Row],[explanation2]]="WJ",1,0))</f>
        <v>1</v>
      </c>
      <c r="AB460" s="18">
        <f>IF(DataTable[[#This Row],[explanation1]]="U",1,IF(DataTable[[#This Row],[explanation2]]="U",1,0))</f>
        <v>0</v>
      </c>
      <c r="AC460" s="18">
        <f>IF(DataTable[[#This Row],[explanation1]]="O",1,IF(DataTable[[#This Row],[explanation2]]="O",1,0))</f>
        <v>0</v>
      </c>
      <c r="AD460" s="18">
        <f>IF(DataTable[[#This Row],[explanation1]]="TP",1,IF(DataTable[[#This Row],[explanation2]]="TP",1,0))</f>
        <v>0</v>
      </c>
      <c r="AE460" s="18">
        <f>IF(DataTable[[#This Row],[explanation1]]="WP",1,IF(DataTable[[#This Row],[explanation2]]="WP",1,0))</f>
        <v>0</v>
      </c>
      <c r="AF460" s="18">
        <f>IF(DataTable[[#This Row],[explanation1]]="BR",1,IF(DataTable[[#This Row],[explanation2]]="BR",1,0))</f>
        <v>0</v>
      </c>
      <c r="AG460" s="18">
        <f>IF(DataTable[[#This Row],[explanation1]]="LS",1,IF(DataTable[[#This Row],[explanation2]]="LS",1,0))</f>
        <v>0</v>
      </c>
      <c r="AH460" s="45" t="s">
        <v>7</v>
      </c>
    </row>
    <row r="461" spans="1:34" x14ac:dyDescent="0.2">
      <c r="A461" s="13">
        <v>459</v>
      </c>
      <c r="B461" s="167" t="s">
        <v>64</v>
      </c>
      <c r="C461" s="167" t="s">
        <v>45</v>
      </c>
      <c r="D461" s="167">
        <v>1</v>
      </c>
      <c r="E461" s="14" t="s">
        <v>46</v>
      </c>
      <c r="F461" s="16">
        <v>43</v>
      </c>
      <c r="G461" s="14" t="s">
        <v>47</v>
      </c>
      <c r="H461" s="15" t="s">
        <v>48</v>
      </c>
      <c r="I461" s="16" t="str">
        <f t="shared" si="7"/>
        <v>R</v>
      </c>
      <c r="J461" s="167" t="s">
        <v>49</v>
      </c>
      <c r="K461" s="16" t="s">
        <v>50</v>
      </c>
      <c r="L461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61" s="15">
        <f>IF(DataTable[[#This Row],[3x head (H)/tail (T)?]]=DataTable[[#This Row],[then 4th: H/T/B/0]],1,0)</f>
        <v>0</v>
      </c>
      <c r="N461" s="15">
        <f>IF(DataTable[[#This Row],[then 4th: H/T/B/0]]="B",1,0)</f>
        <v>1</v>
      </c>
      <c r="O461" s="14" t="s">
        <v>438</v>
      </c>
      <c r="P461" s="167">
        <v>21</v>
      </c>
      <c r="Q461" s="169" t="s">
        <v>118</v>
      </c>
      <c r="R461" s="16" t="s">
        <v>58</v>
      </c>
      <c r="S461" s="18" t="s">
        <v>61</v>
      </c>
      <c r="T461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4</v>
      </c>
      <c r="U461" s="19" t="s">
        <v>330</v>
      </c>
      <c r="V461" s="20" t="s">
        <v>9</v>
      </c>
      <c r="W461" s="20"/>
      <c r="X461" s="18"/>
      <c r="Y461" s="18">
        <f>IF(DataTable[[#This Row],[explanation1]]="BL",1,IF(DataTable[[#This Row],[explanation2]]="BL",1,IF(DataTable[[#This Row],[explanation1]]="BR",1,IF(DataTable[[#This Row],[explanation2]]="BR",1,0))))</f>
        <v>0</v>
      </c>
      <c r="Z461" s="18">
        <f>IF(DataTable[[#This Row],[explanation1]]="BL",1,IF(DataTable[[#This Row],[explanation2]]="BL",1,0))</f>
        <v>0</v>
      </c>
      <c r="AA461" s="18">
        <f>IF(DataTable[[#This Row],[explanation1]]="WJ",1,IF(DataTable[[#This Row],[explanation2]]="WJ",1,0))</f>
        <v>0</v>
      </c>
      <c r="AB461" s="18">
        <f>IF(DataTable[[#This Row],[explanation1]]="U",1,IF(DataTable[[#This Row],[explanation2]]="U",1,0))</f>
        <v>0</v>
      </c>
      <c r="AC461" s="18">
        <f>IF(DataTable[[#This Row],[explanation1]]="O",1,IF(DataTable[[#This Row],[explanation2]]="O",1,0))</f>
        <v>1</v>
      </c>
      <c r="AD461" s="18">
        <f>IF(DataTable[[#This Row],[explanation1]]="TP",1,IF(DataTable[[#This Row],[explanation2]]="TP",1,0))</f>
        <v>0</v>
      </c>
      <c r="AE461" s="18">
        <f>IF(DataTable[[#This Row],[explanation1]]="WP",1,IF(DataTable[[#This Row],[explanation2]]="WP",1,0))</f>
        <v>0</v>
      </c>
      <c r="AF461" s="18">
        <f>IF(DataTable[[#This Row],[explanation1]]="BR",1,IF(DataTable[[#This Row],[explanation2]]="BR",1,0))</f>
        <v>0</v>
      </c>
      <c r="AG461" s="18">
        <f>IF(DataTable[[#This Row],[explanation1]]="LS",1,IF(DataTable[[#This Row],[explanation2]]="LS",1,0))</f>
        <v>0</v>
      </c>
      <c r="AH461" s="45" t="s">
        <v>428</v>
      </c>
    </row>
    <row r="462" spans="1:34" x14ac:dyDescent="0.2">
      <c r="A462" s="22">
        <v>460</v>
      </c>
      <c r="B462" s="167" t="s">
        <v>64</v>
      </c>
      <c r="C462" s="167" t="s">
        <v>74</v>
      </c>
      <c r="D462" s="167">
        <v>50</v>
      </c>
      <c r="E462" s="23" t="s">
        <v>58</v>
      </c>
      <c r="F462" s="25">
        <v>37</v>
      </c>
      <c r="G462" s="23" t="s">
        <v>64</v>
      </c>
      <c r="H462" s="24" t="s">
        <v>48</v>
      </c>
      <c r="I462" s="25" t="str">
        <f t="shared" si="7"/>
        <v>M1</v>
      </c>
      <c r="J462" s="167" t="s">
        <v>78</v>
      </c>
      <c r="K462" s="25" t="s">
        <v>49</v>
      </c>
      <c r="L462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462" s="24">
        <f>IF(DataTable[[#This Row],[3x head (H)/tail (T)?]]=DataTable[[#This Row],[then 4th: H/T/B/0]],1,0)</f>
        <v>0</v>
      </c>
      <c r="N462" s="24">
        <f>IF(DataTable[[#This Row],[then 4th: H/T/B/0]]="B",1,0)</f>
        <v>0</v>
      </c>
      <c r="O462" s="23" t="s">
        <v>438</v>
      </c>
      <c r="P462" s="167">
        <v>21</v>
      </c>
      <c r="Q462" s="168" t="s">
        <v>118</v>
      </c>
      <c r="R462" s="25" t="s">
        <v>58</v>
      </c>
      <c r="S462" s="27" t="s">
        <v>75</v>
      </c>
      <c r="T462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62" s="28" t="s">
        <v>76</v>
      </c>
      <c r="V462" s="29" t="s">
        <v>9</v>
      </c>
      <c r="W462" s="29"/>
      <c r="X462" s="27"/>
      <c r="Y462" s="27">
        <f>IF(DataTable[[#This Row],[explanation1]]="BL",1,IF(DataTable[[#This Row],[explanation2]]="BL",1,IF(DataTable[[#This Row],[explanation1]]="BR",1,IF(DataTable[[#This Row],[explanation2]]="BR",1,0))))</f>
        <v>0</v>
      </c>
      <c r="Z462" s="18">
        <f>IF(DataTable[[#This Row],[explanation1]]="BL",1,IF(DataTable[[#This Row],[explanation2]]="BL",1,0))</f>
        <v>0</v>
      </c>
      <c r="AA462" s="18">
        <f>IF(DataTable[[#This Row],[explanation1]]="WJ",1,IF(DataTable[[#This Row],[explanation2]]="WJ",1,0))</f>
        <v>0</v>
      </c>
      <c r="AB462" s="18">
        <f>IF(DataTable[[#This Row],[explanation1]]="U",1,IF(DataTable[[#This Row],[explanation2]]="U",1,0))</f>
        <v>0</v>
      </c>
      <c r="AC462" s="18">
        <f>IF(DataTable[[#This Row],[explanation1]]="O",1,IF(DataTable[[#This Row],[explanation2]]="O",1,0))</f>
        <v>1</v>
      </c>
      <c r="AD462" s="18">
        <f>IF(DataTable[[#This Row],[explanation1]]="TP",1,IF(DataTable[[#This Row],[explanation2]]="TP",1,0))</f>
        <v>0</v>
      </c>
      <c r="AE462" s="18">
        <f>IF(DataTable[[#This Row],[explanation1]]="WP",1,IF(DataTable[[#This Row],[explanation2]]="WP",1,0))</f>
        <v>0</v>
      </c>
      <c r="AF462" s="18">
        <f>IF(DataTable[[#This Row],[explanation1]]="BR",1,IF(DataTable[[#This Row],[explanation2]]="BR",1,0))</f>
        <v>0</v>
      </c>
      <c r="AG462" s="18">
        <f>IF(DataTable[[#This Row],[explanation1]]="LS",1,IF(DataTable[[#This Row],[explanation2]]="LS",1,0))</f>
        <v>0</v>
      </c>
      <c r="AH462" s="45" t="s">
        <v>9</v>
      </c>
    </row>
    <row r="463" spans="1:34" x14ac:dyDescent="0.2">
      <c r="A463" s="13">
        <v>461</v>
      </c>
      <c r="B463" s="167" t="s">
        <v>64</v>
      </c>
      <c r="C463" s="167" t="s">
        <v>74</v>
      </c>
      <c r="D463" s="167">
        <v>50</v>
      </c>
      <c r="E463" s="14" t="s">
        <v>46</v>
      </c>
      <c r="F463" s="16">
        <v>26</v>
      </c>
      <c r="G463" s="14" t="s">
        <v>47</v>
      </c>
      <c r="H463" s="15" t="s">
        <v>48</v>
      </c>
      <c r="I463" s="16" t="str">
        <f t="shared" si="7"/>
        <v>R</v>
      </c>
      <c r="J463" s="167" t="s">
        <v>78</v>
      </c>
      <c r="K463" s="16" t="s">
        <v>50</v>
      </c>
      <c r="L463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63" s="15">
        <f>IF(DataTable[[#This Row],[3x head (H)/tail (T)?]]=DataTable[[#This Row],[then 4th: H/T/B/0]],1,0)</f>
        <v>0</v>
      </c>
      <c r="N463" s="15">
        <f>IF(DataTable[[#This Row],[then 4th: H/T/B/0]]="B",1,0)</f>
        <v>1</v>
      </c>
      <c r="O463" s="14" t="s">
        <v>438</v>
      </c>
      <c r="P463" s="167">
        <v>21</v>
      </c>
      <c r="Q463" s="169" t="s">
        <v>118</v>
      </c>
      <c r="R463" s="16" t="s">
        <v>58</v>
      </c>
      <c r="S463" s="18" t="s">
        <v>75</v>
      </c>
      <c r="T463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63" s="19" t="s">
        <v>76</v>
      </c>
      <c r="V463" s="20" t="s">
        <v>6</v>
      </c>
      <c r="W463" s="20"/>
      <c r="X463" s="18"/>
      <c r="Y463" s="18">
        <f>IF(DataTable[[#This Row],[explanation1]]="BL",1,IF(DataTable[[#This Row],[explanation2]]="BL",1,IF(DataTable[[#This Row],[explanation1]]="BR",1,IF(DataTable[[#This Row],[explanation2]]="BR",1,0))))</f>
        <v>1</v>
      </c>
      <c r="Z463" s="18">
        <f>IF(DataTable[[#This Row],[explanation1]]="BL",1,IF(DataTable[[#This Row],[explanation2]]="BL",1,0))</f>
        <v>1</v>
      </c>
      <c r="AA463" s="18">
        <f>IF(DataTable[[#This Row],[explanation1]]="WJ",1,IF(DataTable[[#This Row],[explanation2]]="WJ",1,0))</f>
        <v>0</v>
      </c>
      <c r="AB463" s="18">
        <f>IF(DataTable[[#This Row],[explanation1]]="U",1,IF(DataTable[[#This Row],[explanation2]]="U",1,0))</f>
        <v>0</v>
      </c>
      <c r="AC463" s="18">
        <f>IF(DataTable[[#This Row],[explanation1]]="O",1,IF(DataTable[[#This Row],[explanation2]]="O",1,0))</f>
        <v>0</v>
      </c>
      <c r="AD463" s="18">
        <f>IF(DataTable[[#This Row],[explanation1]]="TP",1,IF(DataTable[[#This Row],[explanation2]]="TP",1,0))</f>
        <v>0</v>
      </c>
      <c r="AE463" s="18">
        <f>IF(DataTable[[#This Row],[explanation1]]="WP",1,IF(DataTable[[#This Row],[explanation2]]="WP",1,0))</f>
        <v>0</v>
      </c>
      <c r="AF463" s="18">
        <f>IF(DataTable[[#This Row],[explanation1]]="BR",1,IF(DataTable[[#This Row],[explanation2]]="BR",1,0))</f>
        <v>0</v>
      </c>
      <c r="AG463" s="18">
        <f>IF(DataTable[[#This Row],[explanation1]]="LS",1,IF(DataTable[[#This Row],[explanation2]]="LS",1,0))</f>
        <v>0</v>
      </c>
      <c r="AH463" s="45" t="s">
        <v>6</v>
      </c>
    </row>
    <row r="464" spans="1:34" x14ac:dyDescent="0.2">
      <c r="A464" s="22">
        <v>462</v>
      </c>
      <c r="B464" s="167" t="s">
        <v>64</v>
      </c>
      <c r="C464" s="167" t="s">
        <v>74</v>
      </c>
      <c r="D464" s="167">
        <v>50</v>
      </c>
      <c r="E464" s="23" t="s">
        <v>46</v>
      </c>
      <c r="F464" s="25">
        <v>23</v>
      </c>
      <c r="G464" s="23" t="s">
        <v>47</v>
      </c>
      <c r="H464" s="24" t="s">
        <v>48</v>
      </c>
      <c r="I464" s="25" t="str">
        <f t="shared" si="7"/>
        <v>R</v>
      </c>
      <c r="J464" s="167" t="s">
        <v>49</v>
      </c>
      <c r="K464" s="25" t="s">
        <v>50</v>
      </c>
      <c r="L464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64" s="24">
        <f>IF(DataTable[[#This Row],[3x head (H)/tail (T)?]]=DataTable[[#This Row],[then 4th: H/T/B/0]],1,0)</f>
        <v>0</v>
      </c>
      <c r="N464" s="24">
        <f>IF(DataTable[[#This Row],[then 4th: H/T/B/0]]="B",1,0)</f>
        <v>1</v>
      </c>
      <c r="O464" s="23" t="s">
        <v>438</v>
      </c>
      <c r="P464" s="167">
        <v>21</v>
      </c>
      <c r="Q464" s="168" t="s">
        <v>118</v>
      </c>
      <c r="R464" s="25" t="s">
        <v>58</v>
      </c>
      <c r="S464" s="27" t="s">
        <v>75</v>
      </c>
      <c r="T464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64" s="28" t="s">
        <v>76</v>
      </c>
      <c r="V464" s="29" t="s">
        <v>6</v>
      </c>
      <c r="W464" s="29"/>
      <c r="X464" s="27"/>
      <c r="Y464" s="27">
        <f>IF(DataTable[[#This Row],[explanation1]]="BL",1,IF(DataTable[[#This Row],[explanation2]]="BL",1,IF(DataTable[[#This Row],[explanation1]]="BR",1,IF(DataTable[[#This Row],[explanation2]]="BR",1,0))))</f>
        <v>1</v>
      </c>
      <c r="Z464" s="18">
        <f>IF(DataTable[[#This Row],[explanation1]]="BL",1,IF(DataTable[[#This Row],[explanation2]]="BL",1,0))</f>
        <v>1</v>
      </c>
      <c r="AA464" s="18">
        <f>IF(DataTable[[#This Row],[explanation1]]="WJ",1,IF(DataTable[[#This Row],[explanation2]]="WJ",1,0))</f>
        <v>0</v>
      </c>
      <c r="AB464" s="18">
        <f>IF(DataTable[[#This Row],[explanation1]]="U",1,IF(DataTable[[#This Row],[explanation2]]="U",1,0))</f>
        <v>0</v>
      </c>
      <c r="AC464" s="18">
        <f>IF(DataTable[[#This Row],[explanation1]]="O",1,IF(DataTable[[#This Row],[explanation2]]="O",1,0))</f>
        <v>0</v>
      </c>
      <c r="AD464" s="18">
        <f>IF(DataTable[[#This Row],[explanation1]]="TP",1,IF(DataTable[[#This Row],[explanation2]]="TP",1,0))</f>
        <v>0</v>
      </c>
      <c r="AE464" s="18">
        <f>IF(DataTable[[#This Row],[explanation1]]="WP",1,IF(DataTable[[#This Row],[explanation2]]="WP",1,0))</f>
        <v>0</v>
      </c>
      <c r="AF464" s="18">
        <f>IF(DataTable[[#This Row],[explanation1]]="BR",1,IF(DataTable[[#This Row],[explanation2]]="BR",1,0))</f>
        <v>0</v>
      </c>
      <c r="AG464" s="18">
        <f>IF(DataTable[[#This Row],[explanation1]]="LS",1,IF(DataTable[[#This Row],[explanation2]]="LS",1,0))</f>
        <v>0</v>
      </c>
      <c r="AH464" s="45" t="s">
        <v>6</v>
      </c>
    </row>
    <row r="465" spans="1:34" x14ac:dyDescent="0.2">
      <c r="A465" s="13">
        <v>463</v>
      </c>
      <c r="B465" s="167" t="s">
        <v>64</v>
      </c>
      <c r="C465" s="167" t="s">
        <v>45</v>
      </c>
      <c r="D465" s="167">
        <v>50</v>
      </c>
      <c r="E465" s="14" t="s">
        <v>58</v>
      </c>
      <c r="F465" s="16">
        <v>47</v>
      </c>
      <c r="G465" s="14" t="s">
        <v>64</v>
      </c>
      <c r="H465" s="15" t="s">
        <v>48</v>
      </c>
      <c r="I465" s="16" t="str">
        <f t="shared" si="7"/>
        <v>M1</v>
      </c>
      <c r="J465" s="167" t="s">
        <v>78</v>
      </c>
      <c r="K465" s="16" t="s">
        <v>78</v>
      </c>
      <c r="L465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65" s="15">
        <f>IF(DataTable[[#This Row],[3x head (H)/tail (T)?]]=DataTable[[#This Row],[then 4th: H/T/B/0]],1,0)</f>
        <v>1</v>
      </c>
      <c r="N465" s="15">
        <f>IF(DataTable[[#This Row],[then 4th: H/T/B/0]]="B",1,0)</f>
        <v>0</v>
      </c>
      <c r="O465" s="14" t="s">
        <v>438</v>
      </c>
      <c r="P465" s="167">
        <v>21</v>
      </c>
      <c r="Q465" s="169" t="s">
        <v>118</v>
      </c>
      <c r="R465" s="16" t="s">
        <v>58</v>
      </c>
      <c r="S465" s="18" t="s">
        <v>75</v>
      </c>
      <c r="T465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65" s="19" t="s">
        <v>76</v>
      </c>
      <c r="V465" s="20" t="s">
        <v>132</v>
      </c>
      <c r="W465" s="20"/>
      <c r="X465" s="18"/>
      <c r="Y465" s="18">
        <f>IF(DataTable[[#This Row],[explanation1]]="BL",1,IF(DataTable[[#This Row],[explanation2]]="BL",1,IF(DataTable[[#This Row],[explanation1]]="BR",1,IF(DataTable[[#This Row],[explanation2]]="BR",1,0))))</f>
        <v>0</v>
      </c>
      <c r="Z465" s="18">
        <f>IF(DataTable[[#This Row],[explanation1]]="BL",1,IF(DataTable[[#This Row],[explanation2]]="BL",1,0))</f>
        <v>0</v>
      </c>
      <c r="AA465" s="18">
        <f>IF(DataTable[[#This Row],[explanation1]]="WJ",1,IF(DataTable[[#This Row],[explanation2]]="WJ",1,0))</f>
        <v>0</v>
      </c>
      <c r="AB465" s="18">
        <f>IF(DataTable[[#This Row],[explanation1]]="U",1,IF(DataTable[[#This Row],[explanation2]]="U",1,0))</f>
        <v>0</v>
      </c>
      <c r="AC465" s="18">
        <f>IF(DataTable[[#This Row],[explanation1]]="O",1,IF(DataTable[[#This Row],[explanation2]]="O",1,0))</f>
        <v>0</v>
      </c>
      <c r="AD465" s="18">
        <f>IF(DataTable[[#This Row],[explanation1]]="TP",1,IF(DataTable[[#This Row],[explanation2]]="TP",1,0))</f>
        <v>0</v>
      </c>
      <c r="AE465" s="18">
        <f>IF(DataTable[[#This Row],[explanation1]]="WP",1,IF(DataTable[[#This Row],[explanation2]]="WP",1,0))</f>
        <v>0</v>
      </c>
      <c r="AF465" s="18">
        <f>IF(DataTable[[#This Row],[explanation1]]="BR",1,IF(DataTable[[#This Row],[explanation2]]="BR",1,0))</f>
        <v>0</v>
      </c>
      <c r="AG465" s="18">
        <f>IF(DataTable[[#This Row],[explanation1]]="LS",1,IF(DataTable[[#This Row],[explanation2]]="LS",1,0))</f>
        <v>0</v>
      </c>
      <c r="AH465" s="45" t="s">
        <v>429</v>
      </c>
    </row>
    <row r="466" spans="1:34" x14ac:dyDescent="0.2">
      <c r="A466" s="22">
        <v>464</v>
      </c>
      <c r="B466" s="167" t="s">
        <v>70</v>
      </c>
      <c r="C466" s="167" t="s">
        <v>45</v>
      </c>
      <c r="D466" s="167">
        <v>50</v>
      </c>
      <c r="E466" s="23" t="s">
        <v>46</v>
      </c>
      <c r="F466" s="25">
        <v>52</v>
      </c>
      <c r="G466" s="23" t="s">
        <v>47</v>
      </c>
      <c r="H466" s="24" t="s">
        <v>48</v>
      </c>
      <c r="I466" s="25" t="str">
        <f t="shared" si="7"/>
        <v>R</v>
      </c>
      <c r="J466" s="167" t="s">
        <v>78</v>
      </c>
      <c r="K466" s="25" t="s">
        <v>50</v>
      </c>
      <c r="L466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66" s="24">
        <f>IF(DataTable[[#This Row],[3x head (H)/tail (T)?]]=DataTable[[#This Row],[then 4th: H/T/B/0]],1,0)</f>
        <v>0</v>
      </c>
      <c r="N466" s="24">
        <f>IF(DataTable[[#This Row],[then 4th: H/T/B/0]]="B",1,0)</f>
        <v>1</v>
      </c>
      <c r="O466" s="23" t="s">
        <v>438</v>
      </c>
      <c r="P466" s="167">
        <v>21</v>
      </c>
      <c r="Q466" s="168" t="s">
        <v>118</v>
      </c>
      <c r="R466" s="25" t="s">
        <v>58</v>
      </c>
      <c r="S466" s="27" t="s">
        <v>54</v>
      </c>
      <c r="T466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2</v>
      </c>
      <c r="U466" s="28" t="s">
        <v>116</v>
      </c>
      <c r="V466" s="29" t="s">
        <v>6</v>
      </c>
      <c r="W466" s="29"/>
      <c r="X466" s="27"/>
      <c r="Y466" s="27">
        <f>IF(DataTable[[#This Row],[explanation1]]="BL",1,IF(DataTable[[#This Row],[explanation2]]="BL",1,IF(DataTable[[#This Row],[explanation1]]="BR",1,IF(DataTable[[#This Row],[explanation2]]="BR",1,0))))</f>
        <v>1</v>
      </c>
      <c r="Z466" s="18">
        <f>IF(DataTable[[#This Row],[explanation1]]="BL",1,IF(DataTable[[#This Row],[explanation2]]="BL",1,0))</f>
        <v>1</v>
      </c>
      <c r="AA466" s="18">
        <f>IF(DataTable[[#This Row],[explanation1]]="WJ",1,IF(DataTable[[#This Row],[explanation2]]="WJ",1,0))</f>
        <v>0</v>
      </c>
      <c r="AB466" s="18">
        <f>IF(DataTable[[#This Row],[explanation1]]="U",1,IF(DataTable[[#This Row],[explanation2]]="U",1,0))</f>
        <v>0</v>
      </c>
      <c r="AC466" s="18">
        <f>IF(DataTable[[#This Row],[explanation1]]="O",1,IF(DataTable[[#This Row],[explanation2]]="O",1,0))</f>
        <v>0</v>
      </c>
      <c r="AD466" s="18">
        <f>IF(DataTable[[#This Row],[explanation1]]="TP",1,IF(DataTable[[#This Row],[explanation2]]="TP",1,0))</f>
        <v>0</v>
      </c>
      <c r="AE466" s="18">
        <f>IF(DataTable[[#This Row],[explanation1]]="WP",1,IF(DataTable[[#This Row],[explanation2]]="WP",1,0))</f>
        <v>0</v>
      </c>
      <c r="AF466" s="18">
        <f>IF(DataTable[[#This Row],[explanation1]]="BR",1,IF(DataTable[[#This Row],[explanation2]]="BR",1,0))</f>
        <v>0</v>
      </c>
      <c r="AG466" s="18">
        <f>IF(DataTable[[#This Row],[explanation1]]="LS",1,IF(DataTable[[#This Row],[explanation2]]="LS",1,0))</f>
        <v>0</v>
      </c>
      <c r="AH466" s="45" t="s">
        <v>6</v>
      </c>
    </row>
    <row r="467" spans="1:34" x14ac:dyDescent="0.2">
      <c r="A467" s="13">
        <v>465</v>
      </c>
      <c r="B467" s="167" t="s">
        <v>70</v>
      </c>
      <c r="C467" s="167" t="s">
        <v>74</v>
      </c>
      <c r="D467" s="167">
        <v>50</v>
      </c>
      <c r="E467" s="14" t="s">
        <v>46</v>
      </c>
      <c r="F467" s="16">
        <v>34</v>
      </c>
      <c r="G467" s="14" t="s">
        <v>70</v>
      </c>
      <c r="H467" s="15" t="s">
        <v>48</v>
      </c>
      <c r="I467" s="16" t="str">
        <f t="shared" si="7"/>
        <v>M5</v>
      </c>
      <c r="J467" s="167" t="s">
        <v>78</v>
      </c>
      <c r="K467" s="16" t="s">
        <v>49</v>
      </c>
      <c r="L467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467" s="15">
        <f>IF(DataTable[[#This Row],[3x head (H)/tail (T)?]]=DataTable[[#This Row],[then 4th: H/T/B/0]],1,0)</f>
        <v>0</v>
      </c>
      <c r="N467" s="15">
        <f>IF(DataTable[[#This Row],[then 4th: H/T/B/0]]="B",1,0)</f>
        <v>0</v>
      </c>
      <c r="O467" s="14" t="s">
        <v>438</v>
      </c>
      <c r="P467" s="167">
        <v>21</v>
      </c>
      <c r="Q467" s="169" t="s">
        <v>118</v>
      </c>
      <c r="R467" s="16" t="s">
        <v>58</v>
      </c>
      <c r="S467" s="18" t="s">
        <v>75</v>
      </c>
      <c r="T467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67" s="19" t="s">
        <v>76</v>
      </c>
      <c r="V467" s="20" t="s">
        <v>13</v>
      </c>
      <c r="W467" s="20"/>
      <c r="X467" s="18"/>
      <c r="Y467" s="18">
        <f>IF(DataTable[[#This Row],[explanation1]]="BL",1,IF(DataTable[[#This Row],[explanation2]]="BL",1,IF(DataTable[[#This Row],[explanation1]]="BR",1,IF(DataTable[[#This Row],[explanation2]]="BR",1,0))))</f>
        <v>0</v>
      </c>
      <c r="Z467" s="18">
        <f>IF(DataTable[[#This Row],[explanation1]]="BL",1,IF(DataTable[[#This Row],[explanation2]]="BL",1,0))</f>
        <v>0</v>
      </c>
      <c r="AA467" s="18">
        <f>IF(DataTable[[#This Row],[explanation1]]="WJ",1,IF(DataTable[[#This Row],[explanation2]]="WJ",1,0))</f>
        <v>0</v>
      </c>
      <c r="AB467" s="18">
        <f>IF(DataTable[[#This Row],[explanation1]]="U",1,IF(DataTable[[#This Row],[explanation2]]="U",1,0))</f>
        <v>0</v>
      </c>
      <c r="AC467" s="18">
        <f>IF(DataTable[[#This Row],[explanation1]]="O",1,IF(DataTable[[#This Row],[explanation2]]="O",1,0))</f>
        <v>0</v>
      </c>
      <c r="AD467" s="18">
        <f>IF(DataTable[[#This Row],[explanation1]]="TP",1,IF(DataTable[[#This Row],[explanation2]]="TP",1,0))</f>
        <v>0</v>
      </c>
      <c r="AE467" s="18">
        <f>IF(DataTable[[#This Row],[explanation1]]="WP",1,IF(DataTable[[#This Row],[explanation2]]="WP",1,0))</f>
        <v>0</v>
      </c>
      <c r="AF467" s="18">
        <f>IF(DataTable[[#This Row],[explanation1]]="BR",1,IF(DataTable[[#This Row],[explanation2]]="BR",1,0))</f>
        <v>0</v>
      </c>
      <c r="AG467" s="18">
        <f>IF(DataTable[[#This Row],[explanation1]]="LS",1,IF(DataTable[[#This Row],[explanation2]]="LS",1,0))</f>
        <v>1</v>
      </c>
      <c r="AH467" s="45" t="s">
        <v>430</v>
      </c>
    </row>
    <row r="468" spans="1:34" x14ac:dyDescent="0.2">
      <c r="A468" s="22">
        <v>466</v>
      </c>
      <c r="B468" s="167" t="s">
        <v>70</v>
      </c>
      <c r="C468" s="167" t="s">
        <v>74</v>
      </c>
      <c r="D468" s="167">
        <v>50</v>
      </c>
      <c r="E468" s="23" t="s">
        <v>58</v>
      </c>
      <c r="F468" s="25">
        <v>21</v>
      </c>
      <c r="G468" s="23" t="s">
        <v>47</v>
      </c>
      <c r="H468" s="24" t="s">
        <v>48</v>
      </c>
      <c r="I468" s="25" t="str">
        <f t="shared" si="7"/>
        <v>R</v>
      </c>
      <c r="J468" s="167" t="s">
        <v>49</v>
      </c>
      <c r="K468" s="25" t="s">
        <v>50</v>
      </c>
      <c r="L468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68" s="24">
        <f>IF(DataTable[[#This Row],[3x head (H)/tail (T)?]]=DataTable[[#This Row],[then 4th: H/T/B/0]],1,0)</f>
        <v>0</v>
      </c>
      <c r="N468" s="24">
        <f>IF(DataTable[[#This Row],[then 4th: H/T/B/0]]="B",1,0)</f>
        <v>1</v>
      </c>
      <c r="O468" s="23" t="s">
        <v>438</v>
      </c>
      <c r="P468" s="167">
        <v>21</v>
      </c>
      <c r="Q468" s="168" t="s">
        <v>118</v>
      </c>
      <c r="R468" s="25" t="s">
        <v>58</v>
      </c>
      <c r="S468" s="27" t="s">
        <v>75</v>
      </c>
      <c r="T468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68" s="28" t="s">
        <v>76</v>
      </c>
      <c r="V468" s="29" t="s">
        <v>11</v>
      </c>
      <c r="W468" s="29"/>
      <c r="X468" s="27"/>
      <c r="Y468" s="27">
        <f>IF(DataTable[[#This Row],[explanation1]]="BL",1,IF(DataTable[[#This Row],[explanation2]]="BL",1,IF(DataTable[[#This Row],[explanation1]]="BR",1,IF(DataTable[[#This Row],[explanation2]]="BR",1,0))))</f>
        <v>0</v>
      </c>
      <c r="Z468" s="18">
        <f>IF(DataTable[[#This Row],[explanation1]]="BL",1,IF(DataTable[[#This Row],[explanation2]]="BL",1,0))</f>
        <v>0</v>
      </c>
      <c r="AA468" s="18">
        <f>IF(DataTable[[#This Row],[explanation1]]="WJ",1,IF(DataTable[[#This Row],[explanation2]]="WJ",1,0))</f>
        <v>0</v>
      </c>
      <c r="AB468" s="18">
        <f>IF(DataTable[[#This Row],[explanation1]]="U",1,IF(DataTable[[#This Row],[explanation2]]="U",1,0))</f>
        <v>0</v>
      </c>
      <c r="AC468" s="18">
        <f>IF(DataTable[[#This Row],[explanation1]]="O",1,IF(DataTable[[#This Row],[explanation2]]="O",1,0))</f>
        <v>0</v>
      </c>
      <c r="AD468" s="18">
        <f>IF(DataTable[[#This Row],[explanation1]]="TP",1,IF(DataTable[[#This Row],[explanation2]]="TP",1,0))</f>
        <v>0</v>
      </c>
      <c r="AE468" s="18">
        <f>IF(DataTable[[#This Row],[explanation1]]="WP",1,IF(DataTable[[#This Row],[explanation2]]="WP",1,0))</f>
        <v>1</v>
      </c>
      <c r="AF468" s="18">
        <f>IF(DataTable[[#This Row],[explanation1]]="BR",1,IF(DataTable[[#This Row],[explanation2]]="BR",1,0))</f>
        <v>0</v>
      </c>
      <c r="AG468" s="18">
        <f>IF(DataTable[[#This Row],[explanation1]]="LS",1,IF(DataTable[[#This Row],[explanation2]]="LS",1,0))</f>
        <v>0</v>
      </c>
      <c r="AH468" s="45" t="s">
        <v>11</v>
      </c>
    </row>
    <row r="469" spans="1:34" x14ac:dyDescent="0.2">
      <c r="A469" s="13">
        <v>467</v>
      </c>
      <c r="B469" s="167" t="s">
        <v>70</v>
      </c>
      <c r="C469" s="167" t="s">
        <v>74</v>
      </c>
      <c r="D469" s="167">
        <v>50</v>
      </c>
      <c r="E469" s="14" t="s">
        <v>58</v>
      </c>
      <c r="F469" s="16">
        <v>22</v>
      </c>
      <c r="G469" s="14" t="s">
        <v>70</v>
      </c>
      <c r="H469" s="15" t="s">
        <v>48</v>
      </c>
      <c r="I469" s="16" t="str">
        <f t="shared" si="7"/>
        <v>M5</v>
      </c>
      <c r="J469" s="167" t="s">
        <v>49</v>
      </c>
      <c r="K469" s="16" t="s">
        <v>78</v>
      </c>
      <c r="L469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469" s="15">
        <f>IF(DataTable[[#This Row],[3x head (H)/tail (T)?]]=DataTable[[#This Row],[then 4th: H/T/B/0]],1,0)</f>
        <v>0</v>
      </c>
      <c r="N469" s="15">
        <f>IF(DataTable[[#This Row],[then 4th: H/T/B/0]]="B",1,0)</f>
        <v>0</v>
      </c>
      <c r="O469" s="14" t="s">
        <v>438</v>
      </c>
      <c r="P469" s="167">
        <v>21</v>
      </c>
      <c r="Q469" s="169" t="s">
        <v>118</v>
      </c>
      <c r="R469" s="16" t="s">
        <v>58</v>
      </c>
      <c r="S469" s="18" t="s">
        <v>75</v>
      </c>
      <c r="T469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69" s="19" t="s">
        <v>76</v>
      </c>
      <c r="V469" s="20" t="s">
        <v>12</v>
      </c>
      <c r="W469" s="20"/>
      <c r="X469" s="18"/>
      <c r="Y469" s="18">
        <f>IF(DataTable[[#This Row],[explanation1]]="BL",1,IF(DataTable[[#This Row],[explanation2]]="BL",1,IF(DataTable[[#This Row],[explanation1]]="BR",1,IF(DataTable[[#This Row],[explanation2]]="BR",1,0))))</f>
        <v>1</v>
      </c>
      <c r="Z469" s="18">
        <f>IF(DataTable[[#This Row],[explanation1]]="BL",1,IF(DataTable[[#This Row],[explanation2]]="BL",1,0))</f>
        <v>0</v>
      </c>
      <c r="AA469" s="18">
        <f>IF(DataTable[[#This Row],[explanation1]]="WJ",1,IF(DataTable[[#This Row],[explanation2]]="WJ",1,0))</f>
        <v>0</v>
      </c>
      <c r="AB469" s="18">
        <f>IF(DataTable[[#This Row],[explanation1]]="U",1,IF(DataTable[[#This Row],[explanation2]]="U",1,0))</f>
        <v>0</v>
      </c>
      <c r="AC469" s="18">
        <f>IF(DataTable[[#This Row],[explanation1]]="O",1,IF(DataTable[[#This Row],[explanation2]]="O",1,0))</f>
        <v>0</v>
      </c>
      <c r="AD469" s="18">
        <f>IF(DataTable[[#This Row],[explanation1]]="TP",1,IF(DataTable[[#This Row],[explanation2]]="TP",1,0))</f>
        <v>0</v>
      </c>
      <c r="AE469" s="18">
        <f>IF(DataTable[[#This Row],[explanation1]]="WP",1,IF(DataTable[[#This Row],[explanation2]]="WP",1,0))</f>
        <v>0</v>
      </c>
      <c r="AF469" s="18">
        <f>IF(DataTable[[#This Row],[explanation1]]="BR",1,IF(DataTable[[#This Row],[explanation2]]="BR",1,0))</f>
        <v>1</v>
      </c>
      <c r="AG469" s="18">
        <f>IF(DataTable[[#This Row],[explanation1]]="LS",1,IF(DataTable[[#This Row],[explanation2]]="LS",1,0))</f>
        <v>0</v>
      </c>
      <c r="AH469" s="45" t="s">
        <v>12</v>
      </c>
    </row>
    <row r="470" spans="1:34" x14ac:dyDescent="0.2">
      <c r="A470" s="22">
        <v>468</v>
      </c>
      <c r="B470" s="167" t="s">
        <v>70</v>
      </c>
      <c r="C470" s="167" t="s">
        <v>74</v>
      </c>
      <c r="D470" s="167">
        <v>50</v>
      </c>
      <c r="E470" s="23" t="s">
        <v>46</v>
      </c>
      <c r="F470" s="25">
        <v>49</v>
      </c>
      <c r="G470" s="23" t="s">
        <v>70</v>
      </c>
      <c r="H470" s="24" t="s">
        <v>81</v>
      </c>
      <c r="I470" s="25" t="str">
        <f t="shared" si="7"/>
        <v>R</v>
      </c>
      <c r="J470" s="167" t="s">
        <v>49</v>
      </c>
      <c r="K470" s="25" t="s">
        <v>50</v>
      </c>
      <c r="L470" s="24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70" s="24">
        <f>IF(DataTable[[#This Row],[3x head (H)/tail (T)?]]=DataTable[[#This Row],[then 4th: H/T/B/0]],1,0)</f>
        <v>0</v>
      </c>
      <c r="N470" s="24">
        <f>IF(DataTable[[#This Row],[then 4th: H/T/B/0]]="B",1,0)</f>
        <v>1</v>
      </c>
      <c r="O470" s="23" t="s">
        <v>438</v>
      </c>
      <c r="P470" s="167">
        <v>21</v>
      </c>
      <c r="Q470" s="168" t="s">
        <v>118</v>
      </c>
      <c r="R470" s="16" t="s">
        <v>58</v>
      </c>
      <c r="S470" s="27" t="s">
        <v>75</v>
      </c>
      <c r="T470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70" s="28" t="s">
        <v>76</v>
      </c>
      <c r="V470" s="29" t="s">
        <v>7</v>
      </c>
      <c r="W470" s="29"/>
      <c r="X470" s="27"/>
      <c r="Y470" s="27">
        <f>IF(DataTable[[#This Row],[explanation1]]="BL",1,IF(DataTable[[#This Row],[explanation2]]="BL",1,IF(DataTable[[#This Row],[explanation1]]="BR",1,IF(DataTable[[#This Row],[explanation2]]="BR",1,0))))</f>
        <v>0</v>
      </c>
      <c r="Z470" s="18">
        <f>IF(DataTable[[#This Row],[explanation1]]="BL",1,IF(DataTable[[#This Row],[explanation2]]="BL",1,0))</f>
        <v>0</v>
      </c>
      <c r="AA470" s="18">
        <f>IF(DataTable[[#This Row],[explanation1]]="WJ",1,IF(DataTable[[#This Row],[explanation2]]="WJ",1,0))</f>
        <v>1</v>
      </c>
      <c r="AB470" s="18">
        <f>IF(DataTable[[#This Row],[explanation1]]="U",1,IF(DataTable[[#This Row],[explanation2]]="U",1,0))</f>
        <v>0</v>
      </c>
      <c r="AC470" s="18">
        <f>IF(DataTable[[#This Row],[explanation1]]="O",1,IF(DataTable[[#This Row],[explanation2]]="O",1,0))</f>
        <v>0</v>
      </c>
      <c r="AD470" s="18">
        <f>IF(DataTable[[#This Row],[explanation1]]="TP",1,IF(DataTable[[#This Row],[explanation2]]="TP",1,0))</f>
        <v>0</v>
      </c>
      <c r="AE470" s="18">
        <f>IF(DataTable[[#This Row],[explanation1]]="WP",1,IF(DataTable[[#This Row],[explanation2]]="WP",1,0))</f>
        <v>0</v>
      </c>
      <c r="AF470" s="18">
        <f>IF(DataTable[[#This Row],[explanation1]]="BR",1,IF(DataTable[[#This Row],[explanation2]]="BR",1,0))</f>
        <v>0</v>
      </c>
      <c r="AG470" s="18">
        <f>IF(DataTable[[#This Row],[explanation1]]="LS",1,IF(DataTable[[#This Row],[explanation2]]="LS",1,0))</f>
        <v>0</v>
      </c>
      <c r="AH470" s="45" t="s">
        <v>7</v>
      </c>
    </row>
    <row r="471" spans="1:34" x14ac:dyDescent="0.2">
      <c r="A471" s="13">
        <v>469</v>
      </c>
      <c r="B471" s="167" t="s">
        <v>70</v>
      </c>
      <c r="C471" s="167" t="s">
        <v>74</v>
      </c>
      <c r="D471" s="167">
        <v>1</v>
      </c>
      <c r="E471" s="14" t="s">
        <v>46</v>
      </c>
      <c r="F471" s="16">
        <v>30</v>
      </c>
      <c r="G471" s="14" t="s">
        <v>70</v>
      </c>
      <c r="H471" s="15" t="s">
        <v>48</v>
      </c>
      <c r="I471" s="16" t="str">
        <f t="shared" si="7"/>
        <v>M5</v>
      </c>
      <c r="J471" s="167" t="s">
        <v>78</v>
      </c>
      <c r="K471" s="16" t="s">
        <v>49</v>
      </c>
      <c r="L471" s="15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471" s="15">
        <f>IF(DataTable[[#This Row],[3x head (H)/tail (T)?]]=DataTable[[#This Row],[then 4th: H/T/B/0]],1,0)</f>
        <v>0</v>
      </c>
      <c r="N471" s="15">
        <f>IF(DataTable[[#This Row],[then 4th: H/T/B/0]]="B",1,0)</f>
        <v>0</v>
      </c>
      <c r="O471" s="14" t="s">
        <v>438</v>
      </c>
      <c r="P471" s="167">
        <v>21</v>
      </c>
      <c r="Q471" s="169" t="s">
        <v>118</v>
      </c>
      <c r="R471" s="16" t="s">
        <v>58</v>
      </c>
      <c r="S471" s="18" t="s">
        <v>75</v>
      </c>
      <c r="T471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71" s="19" t="s">
        <v>76</v>
      </c>
      <c r="V471" s="20" t="s">
        <v>9</v>
      </c>
      <c r="W471" s="20"/>
      <c r="X471" s="18"/>
      <c r="Y471" s="18">
        <f>IF(DataTable[[#This Row],[explanation1]]="BL",1,IF(DataTable[[#This Row],[explanation2]]="BL",1,IF(DataTable[[#This Row],[explanation1]]="BR",1,IF(DataTable[[#This Row],[explanation2]]="BR",1,0))))</f>
        <v>0</v>
      </c>
      <c r="Z471" s="18">
        <f>IF(DataTable[[#This Row],[explanation1]]="BL",1,IF(DataTable[[#This Row],[explanation2]]="BL",1,0))</f>
        <v>0</v>
      </c>
      <c r="AA471" s="18">
        <f>IF(DataTable[[#This Row],[explanation1]]="WJ",1,IF(DataTable[[#This Row],[explanation2]]="WJ",1,0))</f>
        <v>0</v>
      </c>
      <c r="AB471" s="18">
        <f>IF(DataTable[[#This Row],[explanation1]]="U",1,IF(DataTable[[#This Row],[explanation2]]="U",1,0))</f>
        <v>0</v>
      </c>
      <c r="AC471" s="18">
        <f>IF(DataTable[[#This Row],[explanation1]]="O",1,IF(DataTable[[#This Row],[explanation2]]="O",1,0))</f>
        <v>1</v>
      </c>
      <c r="AD471" s="18">
        <f>IF(DataTable[[#This Row],[explanation1]]="TP",1,IF(DataTable[[#This Row],[explanation2]]="TP",1,0))</f>
        <v>0</v>
      </c>
      <c r="AE471" s="18">
        <f>IF(DataTable[[#This Row],[explanation1]]="WP",1,IF(DataTable[[#This Row],[explanation2]]="WP",1,0))</f>
        <v>0</v>
      </c>
      <c r="AF471" s="18">
        <f>IF(DataTable[[#This Row],[explanation1]]="BR",1,IF(DataTable[[#This Row],[explanation2]]="BR",1,0))</f>
        <v>0</v>
      </c>
      <c r="AG471" s="18">
        <f>IF(DataTable[[#This Row],[explanation1]]="LS",1,IF(DataTable[[#This Row],[explanation2]]="LS",1,0))</f>
        <v>0</v>
      </c>
      <c r="AH471" s="45" t="s">
        <v>428</v>
      </c>
    </row>
    <row r="472" spans="1:34" x14ac:dyDescent="0.2">
      <c r="A472" s="22">
        <v>470</v>
      </c>
      <c r="B472" s="167" t="s">
        <v>70</v>
      </c>
      <c r="C472" s="167" t="s">
        <v>74</v>
      </c>
      <c r="D472" s="167">
        <v>1</v>
      </c>
      <c r="E472" s="23" t="s">
        <v>58</v>
      </c>
      <c r="F472" s="25">
        <v>36</v>
      </c>
      <c r="G472" s="23" t="s">
        <v>70</v>
      </c>
      <c r="H472" s="24" t="s">
        <v>48</v>
      </c>
      <c r="I472" s="25" t="str">
        <f t="shared" si="7"/>
        <v>M5</v>
      </c>
      <c r="J472" s="167" t="s">
        <v>49</v>
      </c>
      <c r="K472" s="25" t="s">
        <v>78</v>
      </c>
      <c r="L472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472" s="24">
        <f>IF(DataTable[[#This Row],[3x head (H)/tail (T)?]]=DataTable[[#This Row],[then 4th: H/T/B/0]],1,0)</f>
        <v>0</v>
      </c>
      <c r="N472" s="24">
        <f>IF(DataTable[[#This Row],[then 4th: H/T/B/0]]="B",1,0)</f>
        <v>0</v>
      </c>
      <c r="O472" s="23" t="s">
        <v>438</v>
      </c>
      <c r="P472" s="167">
        <v>21</v>
      </c>
      <c r="Q472" s="168" t="s">
        <v>118</v>
      </c>
      <c r="R472" s="16" t="s">
        <v>58</v>
      </c>
      <c r="S472" s="27" t="s">
        <v>65</v>
      </c>
      <c r="T472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472" s="28" t="s">
        <v>86</v>
      </c>
      <c r="V472" s="29" t="s">
        <v>9</v>
      </c>
      <c r="W472" s="29"/>
      <c r="X472" s="27"/>
      <c r="Y472" s="27">
        <f>IF(DataTable[[#This Row],[explanation1]]="BL",1,IF(DataTable[[#This Row],[explanation2]]="BL",1,IF(DataTable[[#This Row],[explanation1]]="BR",1,IF(DataTable[[#This Row],[explanation2]]="BR",1,0))))</f>
        <v>0</v>
      </c>
      <c r="Z472" s="18">
        <f>IF(DataTable[[#This Row],[explanation1]]="BL",1,IF(DataTable[[#This Row],[explanation2]]="BL",1,0))</f>
        <v>0</v>
      </c>
      <c r="AA472" s="18">
        <f>IF(DataTable[[#This Row],[explanation1]]="WJ",1,IF(DataTable[[#This Row],[explanation2]]="WJ",1,0))</f>
        <v>0</v>
      </c>
      <c r="AB472" s="18">
        <f>IF(DataTable[[#This Row],[explanation1]]="U",1,IF(DataTable[[#This Row],[explanation2]]="U",1,0))</f>
        <v>0</v>
      </c>
      <c r="AC472" s="18">
        <f>IF(DataTable[[#This Row],[explanation1]]="O",1,IF(DataTable[[#This Row],[explanation2]]="O",1,0))</f>
        <v>1</v>
      </c>
      <c r="AD472" s="18">
        <f>IF(DataTable[[#This Row],[explanation1]]="TP",1,IF(DataTable[[#This Row],[explanation2]]="TP",1,0))</f>
        <v>0</v>
      </c>
      <c r="AE472" s="18">
        <f>IF(DataTable[[#This Row],[explanation1]]="WP",1,IF(DataTable[[#This Row],[explanation2]]="WP",1,0))</f>
        <v>0</v>
      </c>
      <c r="AF472" s="18">
        <f>IF(DataTable[[#This Row],[explanation1]]="BR",1,IF(DataTable[[#This Row],[explanation2]]="BR",1,0))</f>
        <v>0</v>
      </c>
      <c r="AG472" s="18">
        <f>IF(DataTable[[#This Row],[explanation1]]="LS",1,IF(DataTable[[#This Row],[explanation2]]="LS",1,0))</f>
        <v>0</v>
      </c>
      <c r="AH472" s="45" t="s">
        <v>9</v>
      </c>
    </row>
    <row r="473" spans="1:34" x14ac:dyDescent="0.2">
      <c r="A473" s="13">
        <v>471</v>
      </c>
      <c r="B473" s="167" t="s">
        <v>70</v>
      </c>
      <c r="C473" s="167" t="s">
        <v>45</v>
      </c>
      <c r="D473" s="167">
        <v>1</v>
      </c>
      <c r="E473" s="14" t="s">
        <v>46</v>
      </c>
      <c r="F473" s="16">
        <v>59</v>
      </c>
      <c r="G473" s="14" t="s">
        <v>70</v>
      </c>
      <c r="H473" s="15" t="s">
        <v>48</v>
      </c>
      <c r="I473" s="16" t="str">
        <f t="shared" si="7"/>
        <v>M5</v>
      </c>
      <c r="J473" s="167" t="s">
        <v>78</v>
      </c>
      <c r="K473" s="16" t="s">
        <v>50</v>
      </c>
      <c r="L473" s="15">
        <f>IF((AND(DataTable[[#This Row],[3x head (H)/tail (T)?]]="T",DataTable[[#This Row],[then 4th: H/T/B/0]]="H")),1,IF(AND(DataTable[[#This Row],[3x head (H)/tail (T)?]]="H",DataTable[[#This Row],[then 4th: H/T/B/0]]="T"),1,0))</f>
        <v>0</v>
      </c>
      <c r="M473" s="15">
        <f>IF(DataTable[[#This Row],[3x head (H)/tail (T)?]]=DataTable[[#This Row],[then 4th: H/T/B/0]],1,0)</f>
        <v>0</v>
      </c>
      <c r="N473" s="15">
        <f>IF(DataTable[[#This Row],[then 4th: H/T/B/0]]="B",1,0)</f>
        <v>1</v>
      </c>
      <c r="O473" s="14" t="s">
        <v>438</v>
      </c>
      <c r="P473" s="167">
        <v>21</v>
      </c>
      <c r="Q473" s="169" t="s">
        <v>118</v>
      </c>
      <c r="R473" s="16" t="s">
        <v>58</v>
      </c>
      <c r="S473" s="18" t="s">
        <v>75</v>
      </c>
      <c r="T473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1</v>
      </c>
      <c r="U473" s="19" t="s">
        <v>76</v>
      </c>
      <c r="V473" s="20" t="s">
        <v>8</v>
      </c>
      <c r="W473" s="20"/>
      <c r="X473" s="18"/>
      <c r="Y473" s="18">
        <f>IF(DataTable[[#This Row],[explanation1]]="BL",1,IF(DataTable[[#This Row],[explanation2]]="BL",1,IF(DataTable[[#This Row],[explanation1]]="BR",1,IF(DataTable[[#This Row],[explanation2]]="BR",1,0))))</f>
        <v>0</v>
      </c>
      <c r="Z473" s="18">
        <f>IF(DataTable[[#This Row],[explanation1]]="BL",1,IF(DataTable[[#This Row],[explanation2]]="BL",1,0))</f>
        <v>0</v>
      </c>
      <c r="AA473" s="18">
        <f>IF(DataTable[[#This Row],[explanation1]]="WJ",1,IF(DataTable[[#This Row],[explanation2]]="WJ",1,0))</f>
        <v>0</v>
      </c>
      <c r="AB473" s="18">
        <f>IF(DataTable[[#This Row],[explanation1]]="U",1,IF(DataTable[[#This Row],[explanation2]]="U",1,0))</f>
        <v>1</v>
      </c>
      <c r="AC473" s="18">
        <f>IF(DataTable[[#This Row],[explanation1]]="O",1,IF(DataTable[[#This Row],[explanation2]]="O",1,0))</f>
        <v>0</v>
      </c>
      <c r="AD473" s="18">
        <f>IF(DataTable[[#This Row],[explanation1]]="TP",1,IF(DataTable[[#This Row],[explanation2]]="TP",1,0))</f>
        <v>0</v>
      </c>
      <c r="AE473" s="18">
        <f>IF(DataTable[[#This Row],[explanation1]]="WP",1,IF(DataTable[[#This Row],[explanation2]]="WP",1,0))</f>
        <v>0</v>
      </c>
      <c r="AF473" s="18">
        <f>IF(DataTable[[#This Row],[explanation1]]="BR",1,IF(DataTable[[#This Row],[explanation2]]="BR",1,0))</f>
        <v>0</v>
      </c>
      <c r="AG473" s="18">
        <f>IF(DataTable[[#This Row],[explanation1]]="LS",1,IF(DataTable[[#This Row],[explanation2]]="LS",1,0))</f>
        <v>0</v>
      </c>
      <c r="AH473" s="45" t="s">
        <v>8</v>
      </c>
    </row>
    <row r="474" spans="1:34" x14ac:dyDescent="0.2">
      <c r="A474" s="22">
        <v>472</v>
      </c>
      <c r="B474" s="167" t="s">
        <v>70</v>
      </c>
      <c r="C474" s="167" t="s">
        <v>74</v>
      </c>
      <c r="D474" s="167">
        <v>1</v>
      </c>
      <c r="E474" s="23" t="s">
        <v>46</v>
      </c>
      <c r="F474" s="25">
        <v>22</v>
      </c>
      <c r="G474" s="23" t="s">
        <v>70</v>
      </c>
      <c r="H474" s="24" t="s">
        <v>48</v>
      </c>
      <c r="I474" s="25" t="str">
        <f t="shared" si="7"/>
        <v>M5</v>
      </c>
      <c r="J474" s="167" t="s">
        <v>49</v>
      </c>
      <c r="K474" s="25" t="s">
        <v>78</v>
      </c>
      <c r="L474" s="24">
        <f>IF((AND(DataTable[[#This Row],[3x head (H)/tail (T)?]]="T",DataTable[[#This Row],[then 4th: H/T/B/0]]="H")),1,IF(AND(DataTable[[#This Row],[3x head (H)/tail (T)?]]="H",DataTable[[#This Row],[then 4th: H/T/B/0]]="T"),1,0))</f>
        <v>1</v>
      </c>
      <c r="M474" s="24">
        <f>IF(DataTable[[#This Row],[3x head (H)/tail (T)?]]=DataTable[[#This Row],[then 4th: H/T/B/0]],1,0)</f>
        <v>0</v>
      </c>
      <c r="N474" s="24">
        <f>IF(DataTable[[#This Row],[then 4th: H/T/B/0]]="B",1,0)</f>
        <v>0</v>
      </c>
      <c r="O474" s="23" t="s">
        <v>438</v>
      </c>
      <c r="P474" s="167">
        <v>21</v>
      </c>
      <c r="Q474" s="168" t="s">
        <v>118</v>
      </c>
      <c r="R474" s="16" t="s">
        <v>58</v>
      </c>
      <c r="S474" s="27" t="s">
        <v>65</v>
      </c>
      <c r="T474" s="18">
        <f>IF(DataTable[[#This Row],[play lotteries?]]="always",5,IF(DataTable[[#This Row],[play lotteries?]]="regularly",4,IF(DataTable[[#This Row],[play lotteries?]]="occasionally",3,IF(DataTable[[#This Row],[play lotteries?]]="rarely",2,IF(DataTable[[#This Row],[play lotteries?]]="never",1)))))</f>
        <v>3</v>
      </c>
      <c r="U474" s="28" t="s">
        <v>86</v>
      </c>
      <c r="V474" s="29" t="s">
        <v>8</v>
      </c>
      <c r="W474" s="29"/>
      <c r="X474" s="27"/>
      <c r="Y474" s="27">
        <f>IF(DataTable[[#This Row],[explanation1]]="BL",1,IF(DataTable[[#This Row],[explanation2]]="BL",1,IF(DataTable[[#This Row],[explanation1]]="BR",1,IF(DataTable[[#This Row],[explanation2]]="BR",1,0))))</f>
        <v>0</v>
      </c>
      <c r="Z474" s="18">
        <f>IF(DataTable[[#This Row],[explanation1]]="BL",1,IF(DataTable[[#This Row],[explanation2]]="BL",1,0))</f>
        <v>0</v>
      </c>
      <c r="AA474" s="18">
        <f>IF(DataTable[[#This Row],[explanation1]]="WJ",1,IF(DataTable[[#This Row],[explanation2]]="WJ",1,0))</f>
        <v>0</v>
      </c>
      <c r="AB474" s="18">
        <f>IF(DataTable[[#This Row],[explanation1]]="U",1,IF(DataTable[[#This Row],[explanation2]]="U",1,0))</f>
        <v>1</v>
      </c>
      <c r="AC474" s="18">
        <f>IF(DataTable[[#This Row],[explanation1]]="O",1,IF(DataTable[[#This Row],[explanation2]]="O",1,0))</f>
        <v>0</v>
      </c>
      <c r="AD474" s="18">
        <f>IF(DataTable[[#This Row],[explanation1]]="TP",1,IF(DataTable[[#This Row],[explanation2]]="TP",1,0))</f>
        <v>0</v>
      </c>
      <c r="AE474" s="18">
        <f>IF(DataTable[[#This Row],[explanation1]]="WP",1,IF(DataTable[[#This Row],[explanation2]]="WP",1,0))</f>
        <v>0</v>
      </c>
      <c r="AF474" s="18">
        <f>IF(DataTable[[#This Row],[explanation1]]="BR",1,IF(DataTable[[#This Row],[explanation2]]="BR",1,0))</f>
        <v>0</v>
      </c>
      <c r="AG474" s="18">
        <f>IF(DataTable[[#This Row],[explanation1]]="LS",1,IF(DataTable[[#This Row],[explanation2]]="LS",1,0))</f>
        <v>0</v>
      </c>
      <c r="AH474" s="45" t="s">
        <v>8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I259"/>
  <sheetViews>
    <sheetView topLeftCell="G1" zoomScale="90" zoomScaleNormal="90" workbookViewId="0">
      <selection activeCell="L48" sqref="L48"/>
    </sheetView>
  </sheetViews>
  <sheetFormatPr baseColWidth="10" defaultColWidth="11" defaultRowHeight="16" x14ac:dyDescent="0.2"/>
  <cols>
    <col min="1" max="1" width="28.1640625" customWidth="1"/>
    <col min="2" max="2" width="17.33203125" style="122" customWidth="1"/>
    <col min="3" max="3" width="4.6640625" style="123" customWidth="1"/>
    <col min="4" max="4" width="8" style="124" customWidth="1"/>
    <col min="5" max="5" width="5" style="122" bestFit="1" customWidth="1"/>
    <col min="6" max="6" width="4.6640625" style="123" customWidth="1"/>
    <col min="7" max="7" width="8" style="124" bestFit="1" customWidth="1"/>
    <col min="8" max="8" width="10.83203125" customWidth="1"/>
    <col min="10" max="10" width="11" customWidth="1"/>
    <col min="11" max="11" width="4.6640625" style="56" bestFit="1" customWidth="1"/>
    <col min="12" max="12" width="4.6640625" style="124" bestFit="1" customWidth="1"/>
    <col min="13" max="13" width="7.6640625" customWidth="1"/>
    <col min="14" max="14" width="4.6640625" style="56" bestFit="1" customWidth="1"/>
    <col min="15" max="15" width="4.6640625" style="124" bestFit="1" customWidth="1"/>
    <col min="16" max="16" width="7.6640625" customWidth="1"/>
    <col min="17" max="17" width="10.6640625" style="125" customWidth="1"/>
    <col min="18" max="18" width="11" customWidth="1"/>
    <col min="20" max="21" width="4.1640625" bestFit="1" customWidth="1"/>
    <col min="22" max="22" width="7.6640625" bestFit="1" customWidth="1"/>
    <col min="23" max="24" width="4.1640625" bestFit="1" customWidth="1"/>
    <col min="25" max="25" width="7.6640625" bestFit="1" customWidth="1"/>
    <col min="26" max="26" width="10.6640625" bestFit="1" customWidth="1"/>
    <col min="29" max="30" width="3.1640625" bestFit="1" customWidth="1"/>
    <col min="31" max="31" width="7.6640625" bestFit="1" customWidth="1"/>
    <col min="32" max="33" width="3.1640625" bestFit="1" customWidth="1"/>
    <col min="34" max="34" width="7.6640625" bestFit="1" customWidth="1"/>
    <col min="35" max="35" width="10.6640625" bestFit="1" customWidth="1"/>
  </cols>
  <sheetData>
    <row r="1" spans="1:35" ht="16" customHeight="1" x14ac:dyDescent="0.2">
      <c r="A1" s="48" t="s">
        <v>4</v>
      </c>
      <c r="B1" t="s">
        <v>399</v>
      </c>
      <c r="C1"/>
      <c r="D1"/>
      <c r="E1"/>
      <c r="F1"/>
      <c r="G1"/>
      <c r="K1"/>
      <c r="L1"/>
      <c r="N1"/>
      <c r="O1"/>
      <c r="Q1"/>
      <c r="AC1" s="281" t="s">
        <v>380</v>
      </c>
      <c r="AD1" s="281"/>
      <c r="AE1" s="281"/>
      <c r="AF1" s="281"/>
      <c r="AG1" s="281"/>
      <c r="AH1" s="281"/>
      <c r="AI1" s="281"/>
    </row>
    <row r="2" spans="1:35" ht="17" thickBot="1" x14ac:dyDescent="0.25">
      <c r="A2" s="49" t="s">
        <v>381</v>
      </c>
      <c r="B2" s="49"/>
      <c r="C2"/>
      <c r="D2"/>
      <c r="E2"/>
      <c r="F2"/>
      <c r="G2"/>
      <c r="I2" s="63" t="s">
        <v>382</v>
      </c>
      <c r="J2" s="49" t="s">
        <v>383</v>
      </c>
      <c r="K2" s="49"/>
      <c r="L2" s="49"/>
      <c r="N2"/>
      <c r="O2"/>
      <c r="Q2"/>
      <c r="S2" s="49" t="s">
        <v>384</v>
      </c>
      <c r="T2" s="49"/>
      <c r="U2" s="50"/>
      <c r="V2" s="50"/>
      <c r="W2" s="50"/>
      <c r="X2" s="50"/>
      <c r="Y2" s="50"/>
      <c r="AA2" s="63" t="s">
        <v>385</v>
      </c>
      <c r="AB2" s="49" t="s">
        <v>386</v>
      </c>
      <c r="AC2" s="281"/>
      <c r="AD2" s="281"/>
      <c r="AE2" s="281"/>
      <c r="AF2" s="281"/>
      <c r="AG2" s="281"/>
      <c r="AH2" s="281"/>
      <c r="AI2" s="281"/>
    </row>
    <row r="3" spans="1:35" ht="17" thickBot="1" x14ac:dyDescent="0.25">
      <c r="A3" s="48" t="s">
        <v>360</v>
      </c>
      <c r="B3" s="127" t="s">
        <v>387</v>
      </c>
      <c r="C3" s="64"/>
      <c r="D3" s="65"/>
      <c r="E3" s="66"/>
      <c r="F3" s="66"/>
      <c r="G3" s="67"/>
      <c r="H3" s="67"/>
      <c r="J3" s="68" t="s">
        <v>360</v>
      </c>
      <c r="K3" s="69"/>
      <c r="L3" s="70"/>
      <c r="M3" s="71"/>
      <c r="N3" s="69"/>
      <c r="O3" s="70"/>
      <c r="P3" s="71"/>
      <c r="Q3" s="72"/>
      <c r="S3" s="68" t="s">
        <v>360</v>
      </c>
      <c r="T3" s="69"/>
      <c r="U3" s="70"/>
      <c r="V3" s="71"/>
      <c r="W3" s="69"/>
      <c r="X3" s="70"/>
      <c r="Y3" s="71"/>
      <c r="Z3" s="72"/>
      <c r="AB3" s="68" t="s">
        <v>360</v>
      </c>
      <c r="AC3" s="69"/>
      <c r="AD3" s="70"/>
      <c r="AE3" s="71"/>
      <c r="AF3" s="69"/>
      <c r="AG3" s="70"/>
      <c r="AH3" s="71"/>
      <c r="AI3" s="72"/>
    </row>
    <row r="4" spans="1:35" ht="17" thickBot="1" x14ac:dyDescent="0.25">
      <c r="B4" s="65">
        <v>14</v>
      </c>
      <c r="C4" s="67"/>
      <c r="D4" s="73" t="s">
        <v>388</v>
      </c>
      <c r="E4" s="65">
        <v>21</v>
      </c>
      <c r="F4" s="67"/>
      <c r="G4" s="73" t="s">
        <v>389</v>
      </c>
      <c r="H4" t="s">
        <v>365</v>
      </c>
      <c r="J4" s="74"/>
      <c r="K4" s="75">
        <v>14</v>
      </c>
      <c r="L4" s="76"/>
      <c r="M4" s="71" t="s">
        <v>388</v>
      </c>
      <c r="N4" s="75">
        <v>21</v>
      </c>
      <c r="O4" s="76"/>
      <c r="P4" s="71" t="s">
        <v>389</v>
      </c>
      <c r="Q4" s="77" t="s">
        <v>365</v>
      </c>
      <c r="S4" s="74"/>
      <c r="T4" s="75">
        <v>14</v>
      </c>
      <c r="U4" s="76"/>
      <c r="V4" s="71" t="s">
        <v>388</v>
      </c>
      <c r="W4" s="75">
        <v>21</v>
      </c>
      <c r="X4" s="76"/>
      <c r="Y4" s="71" t="s">
        <v>389</v>
      </c>
      <c r="Z4" s="77" t="s">
        <v>365</v>
      </c>
      <c r="AB4" s="74"/>
      <c r="AC4" s="75">
        <v>14</v>
      </c>
      <c r="AD4" s="76"/>
      <c r="AE4" s="71" t="s">
        <v>388</v>
      </c>
      <c r="AF4" s="75">
        <v>21</v>
      </c>
      <c r="AG4" s="76"/>
      <c r="AH4" s="71" t="s">
        <v>389</v>
      </c>
      <c r="AI4" s="77" t="s">
        <v>365</v>
      </c>
    </row>
    <row r="5" spans="1:35" ht="17" thickBot="1" x14ac:dyDescent="0.25">
      <c r="A5" s="48" t="s">
        <v>362</v>
      </c>
      <c r="B5" s="78" t="s">
        <v>78</v>
      </c>
      <c r="C5" s="67" t="s">
        <v>49</v>
      </c>
      <c r="D5" s="79"/>
      <c r="E5" s="65" t="s">
        <v>78</v>
      </c>
      <c r="F5" s="67" t="s">
        <v>49</v>
      </c>
      <c r="G5" s="79"/>
      <c r="J5" s="80" t="s">
        <v>362</v>
      </c>
      <c r="K5" s="81" t="s">
        <v>78</v>
      </c>
      <c r="L5" s="76" t="s">
        <v>49</v>
      </c>
      <c r="M5" s="71"/>
      <c r="N5" s="75" t="s">
        <v>78</v>
      </c>
      <c r="O5" s="76" t="s">
        <v>49</v>
      </c>
      <c r="P5" s="71"/>
      <c r="Q5" s="82"/>
      <c r="S5" s="80" t="s">
        <v>362</v>
      </c>
      <c r="T5" s="81" t="s">
        <v>78</v>
      </c>
      <c r="U5" s="76" t="s">
        <v>49</v>
      </c>
      <c r="V5" s="71"/>
      <c r="W5" s="75" t="s">
        <v>78</v>
      </c>
      <c r="X5" s="76" t="s">
        <v>49</v>
      </c>
      <c r="Y5" s="71"/>
      <c r="Z5" s="82"/>
      <c r="AB5" s="80" t="s">
        <v>362</v>
      </c>
      <c r="AC5" s="81" t="s">
        <v>78</v>
      </c>
      <c r="AD5" s="76" t="s">
        <v>49</v>
      </c>
      <c r="AE5" s="71"/>
      <c r="AF5" s="75" t="s">
        <v>78</v>
      </c>
      <c r="AG5" s="76" t="s">
        <v>49</v>
      </c>
      <c r="AH5" s="71"/>
      <c r="AI5" s="82"/>
    </row>
    <row r="6" spans="1:35" x14ac:dyDescent="0.2">
      <c r="A6" s="45" t="s">
        <v>57</v>
      </c>
      <c r="B6" s="46">
        <v>18</v>
      </c>
      <c r="C6" s="46">
        <v>20</v>
      </c>
      <c r="D6" s="83">
        <v>38</v>
      </c>
      <c r="E6" s="84">
        <v>20</v>
      </c>
      <c r="F6" s="84">
        <v>19</v>
      </c>
      <c r="G6" s="85">
        <v>39</v>
      </c>
      <c r="H6" s="46">
        <v>77</v>
      </c>
      <c r="J6" s="86" t="s">
        <v>57</v>
      </c>
      <c r="K6" s="87">
        <f>K7+K10</f>
        <v>18</v>
      </c>
      <c r="L6" s="88">
        <f>L7+L10</f>
        <v>20</v>
      </c>
      <c r="M6" s="89">
        <f>K6+L6</f>
        <v>38</v>
      </c>
      <c r="N6" s="87">
        <f>N7+N10</f>
        <v>20</v>
      </c>
      <c r="O6" s="88">
        <f>O7+O10</f>
        <v>19</v>
      </c>
      <c r="P6" s="89">
        <f>N6+O6</f>
        <v>39</v>
      </c>
      <c r="Q6" s="90">
        <f t="shared" ref="Q6:Q47" si="0">M6+P6</f>
        <v>77</v>
      </c>
      <c r="S6" s="86" t="s">
        <v>57</v>
      </c>
      <c r="T6" s="87">
        <f>T7+T10</f>
        <v>18</v>
      </c>
      <c r="U6" s="88">
        <f>U7+U10</f>
        <v>20</v>
      </c>
      <c r="V6" s="89">
        <f>T6+U6</f>
        <v>38</v>
      </c>
      <c r="W6" s="87">
        <f>W7+W10</f>
        <v>20</v>
      </c>
      <c r="X6" s="88">
        <f>X7+X10</f>
        <v>18</v>
      </c>
      <c r="Y6" s="89">
        <f>W6+X6</f>
        <v>38</v>
      </c>
      <c r="Z6" s="90">
        <f t="shared" ref="Z6:Z47" si="1">V6+Y6</f>
        <v>76</v>
      </c>
      <c r="AB6" s="86" t="s">
        <v>57</v>
      </c>
      <c r="AC6" s="87">
        <f>AC7+AC10</f>
        <v>0</v>
      </c>
      <c r="AD6" s="88">
        <f>AD7+AD10</f>
        <v>0</v>
      </c>
      <c r="AE6" s="89">
        <f>AC6+AD6</f>
        <v>0</v>
      </c>
      <c r="AF6" s="87">
        <f>AF7+AF10</f>
        <v>0</v>
      </c>
      <c r="AG6" s="88">
        <f>AG7+AG10</f>
        <v>-1</v>
      </c>
      <c r="AH6" s="89">
        <f>AF6+AG6</f>
        <v>-1</v>
      </c>
      <c r="AI6" s="90">
        <f t="shared" ref="AI6:AI47" si="2">AE6+AH6</f>
        <v>-1</v>
      </c>
    </row>
    <row r="7" spans="1:35" x14ac:dyDescent="0.2">
      <c r="A7" s="47" t="s">
        <v>74</v>
      </c>
      <c r="B7" s="46">
        <v>8</v>
      </c>
      <c r="C7" s="46">
        <v>8</v>
      </c>
      <c r="D7" s="91">
        <v>16</v>
      </c>
      <c r="E7" s="92">
        <v>11</v>
      </c>
      <c r="F7" s="92">
        <v>11</v>
      </c>
      <c r="G7" s="93">
        <v>22</v>
      </c>
      <c r="H7" s="46">
        <v>38</v>
      </c>
      <c r="J7" s="94" t="s">
        <v>74</v>
      </c>
      <c r="K7" s="95">
        <f t="shared" ref="K7:P7" si="3">K8+K9</f>
        <v>8</v>
      </c>
      <c r="L7" s="96">
        <f t="shared" si="3"/>
        <v>8</v>
      </c>
      <c r="M7" s="97">
        <f t="shared" si="3"/>
        <v>16</v>
      </c>
      <c r="N7" s="95">
        <f t="shared" si="3"/>
        <v>11</v>
      </c>
      <c r="O7" s="98">
        <f t="shared" si="3"/>
        <v>11</v>
      </c>
      <c r="P7" s="97">
        <f t="shared" si="3"/>
        <v>22</v>
      </c>
      <c r="Q7" s="99">
        <f t="shared" si="0"/>
        <v>38</v>
      </c>
      <c r="S7" s="94" t="s">
        <v>74</v>
      </c>
      <c r="T7" s="95">
        <f t="shared" ref="T7:Y7" si="4">T8+T9</f>
        <v>8</v>
      </c>
      <c r="U7" s="96">
        <f t="shared" si="4"/>
        <v>8</v>
      </c>
      <c r="V7" s="97">
        <f t="shared" si="4"/>
        <v>16</v>
      </c>
      <c r="W7" s="95">
        <f t="shared" si="4"/>
        <v>11</v>
      </c>
      <c r="X7" s="98">
        <f t="shared" si="4"/>
        <v>10</v>
      </c>
      <c r="Y7" s="97">
        <f t="shared" si="4"/>
        <v>21</v>
      </c>
      <c r="Z7" s="99">
        <f t="shared" si="1"/>
        <v>37</v>
      </c>
      <c r="AB7" s="94" t="s">
        <v>74</v>
      </c>
      <c r="AC7" s="95">
        <f t="shared" ref="AC7:AH7" si="5">AC8+AC9</f>
        <v>0</v>
      </c>
      <c r="AD7" s="96">
        <f t="shared" si="5"/>
        <v>0</v>
      </c>
      <c r="AE7" s="97">
        <f t="shared" si="5"/>
        <v>0</v>
      </c>
      <c r="AF7" s="95">
        <f t="shared" si="5"/>
        <v>0</v>
      </c>
      <c r="AG7" s="98">
        <f t="shared" si="5"/>
        <v>-1</v>
      </c>
      <c r="AH7" s="97">
        <f t="shared" si="5"/>
        <v>-1</v>
      </c>
      <c r="AI7" s="99">
        <f t="shared" si="2"/>
        <v>-1</v>
      </c>
    </row>
    <row r="8" spans="1:35" x14ac:dyDescent="0.2">
      <c r="A8" s="53">
        <v>1</v>
      </c>
      <c r="B8" s="46">
        <v>4</v>
      </c>
      <c r="C8" s="46">
        <v>4</v>
      </c>
      <c r="D8" s="91">
        <v>8</v>
      </c>
      <c r="E8" s="92">
        <v>6</v>
      </c>
      <c r="F8" s="92">
        <v>6</v>
      </c>
      <c r="G8" s="93">
        <v>12</v>
      </c>
      <c r="H8" s="46">
        <v>20</v>
      </c>
      <c r="J8" s="100">
        <v>1</v>
      </c>
      <c r="K8" s="101">
        <v>4</v>
      </c>
      <c r="L8" s="102">
        <v>4</v>
      </c>
      <c r="M8" s="103">
        <f>K8+L8</f>
        <v>8</v>
      </c>
      <c r="N8" s="104">
        <v>6</v>
      </c>
      <c r="O8" s="105">
        <v>6</v>
      </c>
      <c r="P8" s="103">
        <f>N8+O8</f>
        <v>12</v>
      </c>
      <c r="Q8" s="106">
        <f t="shared" si="0"/>
        <v>20</v>
      </c>
      <c r="S8" s="100">
        <v>1</v>
      </c>
      <c r="T8" s="107">
        <v>4</v>
      </c>
      <c r="U8" s="108">
        <v>4</v>
      </c>
      <c r="V8" s="103">
        <f>T8+U8</f>
        <v>8</v>
      </c>
      <c r="W8" s="153">
        <v>6</v>
      </c>
      <c r="X8" s="152">
        <v>5</v>
      </c>
      <c r="Y8" s="103">
        <f>W8+X8</f>
        <v>11</v>
      </c>
      <c r="Z8" s="106">
        <f t="shared" si="1"/>
        <v>19</v>
      </c>
      <c r="AB8" s="100">
        <v>1</v>
      </c>
      <c r="AC8" s="107">
        <f>T8-K8</f>
        <v>0</v>
      </c>
      <c r="AD8" s="108">
        <f>U8-L8</f>
        <v>0</v>
      </c>
      <c r="AE8" s="103">
        <f>AC8+AD8</f>
        <v>0</v>
      </c>
      <c r="AF8" s="107">
        <f>W8-N8</f>
        <v>0</v>
      </c>
      <c r="AG8" s="108">
        <f>X8-O8</f>
        <v>-1</v>
      </c>
      <c r="AH8" s="103">
        <f>AF8+AG8</f>
        <v>-1</v>
      </c>
      <c r="AI8" s="106">
        <f t="shared" si="2"/>
        <v>-1</v>
      </c>
    </row>
    <row r="9" spans="1:35" x14ac:dyDescent="0.2">
      <c r="A9" s="53">
        <v>50</v>
      </c>
      <c r="B9" s="46">
        <v>4</v>
      </c>
      <c r="C9" s="46">
        <v>4</v>
      </c>
      <c r="D9" s="91">
        <v>8</v>
      </c>
      <c r="E9" s="92">
        <v>5</v>
      </c>
      <c r="F9" s="92">
        <v>5</v>
      </c>
      <c r="G9" s="93">
        <v>10</v>
      </c>
      <c r="H9" s="46">
        <v>18</v>
      </c>
      <c r="J9" s="100">
        <v>50</v>
      </c>
      <c r="K9" s="101">
        <v>4</v>
      </c>
      <c r="L9" s="102">
        <v>4</v>
      </c>
      <c r="M9" s="103">
        <f>K9+L9</f>
        <v>8</v>
      </c>
      <c r="N9" s="101">
        <v>5</v>
      </c>
      <c r="O9" s="109">
        <v>5</v>
      </c>
      <c r="P9" s="103">
        <f>N9+O9</f>
        <v>10</v>
      </c>
      <c r="Q9" s="106">
        <f t="shared" si="0"/>
        <v>18</v>
      </c>
      <c r="S9" s="100">
        <v>50</v>
      </c>
      <c r="T9" s="107">
        <v>4</v>
      </c>
      <c r="U9" s="108">
        <v>4</v>
      </c>
      <c r="V9" s="103">
        <f>T9+U9</f>
        <v>8</v>
      </c>
      <c r="W9" s="107">
        <v>5</v>
      </c>
      <c r="X9" s="151">
        <v>5</v>
      </c>
      <c r="Y9" s="103">
        <f>W9+X9</f>
        <v>10</v>
      </c>
      <c r="Z9" s="106">
        <f t="shared" si="1"/>
        <v>18</v>
      </c>
      <c r="AB9" s="100">
        <v>50</v>
      </c>
      <c r="AC9" s="107">
        <f>T9-K9</f>
        <v>0</v>
      </c>
      <c r="AD9" s="108">
        <f>U9-L9</f>
        <v>0</v>
      </c>
      <c r="AE9" s="103">
        <f>AC9+AD9</f>
        <v>0</v>
      </c>
      <c r="AF9" s="107">
        <f>W9-N9</f>
        <v>0</v>
      </c>
      <c r="AG9" s="108">
        <f>X9-O9</f>
        <v>0</v>
      </c>
      <c r="AH9" s="103">
        <f>AF9+AG9</f>
        <v>0</v>
      </c>
      <c r="AI9" s="106">
        <f t="shared" si="2"/>
        <v>0</v>
      </c>
    </row>
    <row r="10" spans="1:35" x14ac:dyDescent="0.2">
      <c r="A10" s="47" t="s">
        <v>45</v>
      </c>
      <c r="B10" s="46">
        <v>10</v>
      </c>
      <c r="C10" s="46">
        <v>12</v>
      </c>
      <c r="D10" s="91">
        <v>22</v>
      </c>
      <c r="E10" s="92">
        <v>9</v>
      </c>
      <c r="F10" s="92">
        <v>8</v>
      </c>
      <c r="G10" s="93">
        <v>17</v>
      </c>
      <c r="H10" s="46">
        <v>39</v>
      </c>
      <c r="J10" s="94" t="s">
        <v>45</v>
      </c>
      <c r="K10" s="95">
        <f t="shared" ref="K10:P10" si="6">K11+K12</f>
        <v>10</v>
      </c>
      <c r="L10" s="96">
        <f t="shared" si="6"/>
        <v>12</v>
      </c>
      <c r="M10" s="97">
        <f t="shared" si="6"/>
        <v>22</v>
      </c>
      <c r="N10" s="95">
        <f t="shared" si="6"/>
        <v>9</v>
      </c>
      <c r="O10" s="96">
        <f t="shared" si="6"/>
        <v>8</v>
      </c>
      <c r="P10" s="97">
        <f t="shared" si="6"/>
        <v>17</v>
      </c>
      <c r="Q10" s="99">
        <f t="shared" si="0"/>
        <v>39</v>
      </c>
      <c r="S10" s="94" t="s">
        <v>45</v>
      </c>
      <c r="T10" s="95">
        <f t="shared" ref="T10:Y10" si="7">T11+T12</f>
        <v>10</v>
      </c>
      <c r="U10" s="96">
        <f t="shared" si="7"/>
        <v>12</v>
      </c>
      <c r="V10" s="97">
        <f t="shared" si="7"/>
        <v>22</v>
      </c>
      <c r="W10" s="95">
        <f t="shared" si="7"/>
        <v>9</v>
      </c>
      <c r="X10" s="96">
        <f t="shared" si="7"/>
        <v>8</v>
      </c>
      <c r="Y10" s="97">
        <f t="shared" si="7"/>
        <v>17</v>
      </c>
      <c r="Z10" s="99">
        <f t="shared" si="1"/>
        <v>39</v>
      </c>
      <c r="AB10" s="94" t="s">
        <v>45</v>
      </c>
      <c r="AC10" s="95">
        <f t="shared" ref="AC10:AH10" si="8">AC11+AC12</f>
        <v>0</v>
      </c>
      <c r="AD10" s="96">
        <f t="shared" si="8"/>
        <v>0</v>
      </c>
      <c r="AE10" s="97">
        <f t="shared" si="8"/>
        <v>0</v>
      </c>
      <c r="AF10" s="95">
        <f t="shared" si="8"/>
        <v>0</v>
      </c>
      <c r="AG10" s="96">
        <f t="shared" si="8"/>
        <v>0</v>
      </c>
      <c r="AH10" s="97">
        <f t="shared" si="8"/>
        <v>0</v>
      </c>
      <c r="AI10" s="99">
        <f t="shared" si="2"/>
        <v>0</v>
      </c>
    </row>
    <row r="11" spans="1:35" x14ac:dyDescent="0.2">
      <c r="A11" s="53">
        <v>1</v>
      </c>
      <c r="B11" s="46">
        <v>6</v>
      </c>
      <c r="C11" s="46">
        <v>7</v>
      </c>
      <c r="D11" s="91">
        <v>13</v>
      </c>
      <c r="E11" s="92">
        <v>4</v>
      </c>
      <c r="F11" s="92">
        <v>4</v>
      </c>
      <c r="G11" s="93">
        <v>8</v>
      </c>
      <c r="H11" s="46">
        <v>21</v>
      </c>
      <c r="J11" s="100">
        <v>1</v>
      </c>
      <c r="K11" s="101">
        <v>6</v>
      </c>
      <c r="L11" s="102">
        <v>7</v>
      </c>
      <c r="M11" s="103">
        <f>K11+L11</f>
        <v>13</v>
      </c>
      <c r="N11" s="104">
        <v>4</v>
      </c>
      <c r="O11" s="102">
        <v>4</v>
      </c>
      <c r="P11" s="103">
        <f>N11+O11</f>
        <v>8</v>
      </c>
      <c r="Q11" s="106">
        <f t="shared" si="0"/>
        <v>21</v>
      </c>
      <c r="S11" s="100">
        <v>1</v>
      </c>
      <c r="T11" s="107">
        <v>6</v>
      </c>
      <c r="U11" s="108">
        <v>7</v>
      </c>
      <c r="V11" s="103">
        <f>T11+U11</f>
        <v>13</v>
      </c>
      <c r="W11" s="156">
        <v>4</v>
      </c>
      <c r="X11" s="132">
        <v>4</v>
      </c>
      <c r="Y11" s="103">
        <f>W11+X11</f>
        <v>8</v>
      </c>
      <c r="Z11" s="106">
        <f t="shared" si="1"/>
        <v>21</v>
      </c>
      <c r="AB11" s="100">
        <v>1</v>
      </c>
      <c r="AC11" s="107">
        <f>T11-K11</f>
        <v>0</v>
      </c>
      <c r="AD11" s="108">
        <f>U11-L11</f>
        <v>0</v>
      </c>
      <c r="AE11" s="103">
        <f>AC11+AD11</f>
        <v>0</v>
      </c>
      <c r="AF11" s="155">
        <f>W11-N11</f>
        <v>0</v>
      </c>
      <c r="AG11" s="132">
        <f>X11-O11</f>
        <v>0</v>
      </c>
      <c r="AH11" s="103">
        <f>AF11+AG11</f>
        <v>0</v>
      </c>
      <c r="AI11" s="106">
        <f t="shared" si="2"/>
        <v>0</v>
      </c>
    </row>
    <row r="12" spans="1:35" x14ac:dyDescent="0.2">
      <c r="A12" s="53">
        <v>50</v>
      </c>
      <c r="B12" s="46">
        <v>4</v>
      </c>
      <c r="C12" s="46">
        <v>5</v>
      </c>
      <c r="D12" s="91">
        <v>9</v>
      </c>
      <c r="E12" s="92">
        <v>5</v>
      </c>
      <c r="F12" s="92">
        <v>4</v>
      </c>
      <c r="G12" s="93">
        <v>9</v>
      </c>
      <c r="H12" s="46">
        <v>18</v>
      </c>
      <c r="J12" s="100">
        <v>50</v>
      </c>
      <c r="K12" s="101">
        <v>4</v>
      </c>
      <c r="L12" s="102">
        <v>5</v>
      </c>
      <c r="M12" s="103">
        <f>K12+L12</f>
        <v>9</v>
      </c>
      <c r="N12" s="101">
        <v>5</v>
      </c>
      <c r="O12" s="102">
        <v>4</v>
      </c>
      <c r="P12" s="103">
        <f>N12+O12</f>
        <v>9</v>
      </c>
      <c r="Q12" s="106">
        <f t="shared" si="0"/>
        <v>18</v>
      </c>
      <c r="S12" s="100">
        <v>50</v>
      </c>
      <c r="T12" s="107">
        <v>4</v>
      </c>
      <c r="U12" s="108">
        <v>5</v>
      </c>
      <c r="V12" s="103">
        <f>T12+U12</f>
        <v>9</v>
      </c>
      <c r="W12" s="107">
        <v>5</v>
      </c>
      <c r="X12" s="108">
        <v>4</v>
      </c>
      <c r="Y12" s="103">
        <f>W12+X12</f>
        <v>9</v>
      </c>
      <c r="Z12" s="106">
        <f t="shared" si="1"/>
        <v>18</v>
      </c>
      <c r="AB12" s="100">
        <v>50</v>
      </c>
      <c r="AC12" s="107">
        <f>T12-K12</f>
        <v>0</v>
      </c>
      <c r="AD12" s="108">
        <f>U12-L12</f>
        <v>0</v>
      </c>
      <c r="AE12" s="103">
        <f>AC12+AD12</f>
        <v>0</v>
      </c>
      <c r="AF12" s="107">
        <f>W12-N12</f>
        <v>0</v>
      </c>
      <c r="AG12" s="108">
        <f>X12-O12</f>
        <v>0</v>
      </c>
      <c r="AH12" s="103">
        <f>AF12+AG12</f>
        <v>0</v>
      </c>
      <c r="AI12" s="106">
        <f t="shared" si="2"/>
        <v>0</v>
      </c>
    </row>
    <row r="13" spans="1:35" x14ac:dyDescent="0.2">
      <c r="A13" s="45" t="s">
        <v>68</v>
      </c>
      <c r="B13" s="46">
        <v>18</v>
      </c>
      <c r="C13" s="46">
        <v>20</v>
      </c>
      <c r="D13" s="91">
        <v>38</v>
      </c>
      <c r="E13" s="92">
        <v>20</v>
      </c>
      <c r="F13" s="92">
        <v>20</v>
      </c>
      <c r="G13" s="93">
        <v>40</v>
      </c>
      <c r="H13" s="46">
        <v>78</v>
      </c>
      <c r="J13" s="86" t="s">
        <v>68</v>
      </c>
      <c r="K13" s="87">
        <f>K14+K17</f>
        <v>18</v>
      </c>
      <c r="L13" s="88">
        <f>L14+L17</f>
        <v>20</v>
      </c>
      <c r="M13" s="89">
        <f>K13+L13</f>
        <v>38</v>
      </c>
      <c r="N13" s="87">
        <f>N14+N17</f>
        <v>20</v>
      </c>
      <c r="O13" s="88">
        <f>O14+O17</f>
        <v>20</v>
      </c>
      <c r="P13" s="89">
        <f>N13+O13</f>
        <v>40</v>
      </c>
      <c r="Q13" s="90">
        <f t="shared" si="0"/>
        <v>78</v>
      </c>
      <c r="S13" s="86" t="s">
        <v>68</v>
      </c>
      <c r="T13" s="87">
        <f>T14+T17</f>
        <v>18</v>
      </c>
      <c r="U13" s="88">
        <f>U14+U17</f>
        <v>20</v>
      </c>
      <c r="V13" s="89">
        <f>T13+U13</f>
        <v>38</v>
      </c>
      <c r="W13" s="87">
        <f>W14+W17</f>
        <v>19</v>
      </c>
      <c r="X13" s="88">
        <f>X14+X17</f>
        <v>19</v>
      </c>
      <c r="Y13" s="89">
        <f>W13+X13</f>
        <v>38</v>
      </c>
      <c r="Z13" s="90">
        <f t="shared" si="1"/>
        <v>76</v>
      </c>
      <c r="AB13" s="86" t="s">
        <v>68</v>
      </c>
      <c r="AC13" s="87">
        <f>AC14+AC17</f>
        <v>0</v>
      </c>
      <c r="AD13" s="88">
        <f>AD14+AD17</f>
        <v>0</v>
      </c>
      <c r="AE13" s="89">
        <f>AC13+AD13</f>
        <v>0</v>
      </c>
      <c r="AF13" s="87">
        <f>AF14+AF17</f>
        <v>-1</v>
      </c>
      <c r="AG13" s="88">
        <f>AG14+AG17</f>
        <v>-1</v>
      </c>
      <c r="AH13" s="89">
        <f>AF13+AG13</f>
        <v>-2</v>
      </c>
      <c r="AI13" s="90">
        <f t="shared" si="2"/>
        <v>-2</v>
      </c>
    </row>
    <row r="14" spans="1:35" x14ac:dyDescent="0.2">
      <c r="A14" s="47" t="s">
        <v>74</v>
      </c>
      <c r="B14" s="46">
        <v>8</v>
      </c>
      <c r="C14" s="46">
        <v>10</v>
      </c>
      <c r="D14" s="91">
        <v>18</v>
      </c>
      <c r="E14" s="92">
        <v>12</v>
      </c>
      <c r="F14" s="92">
        <v>10</v>
      </c>
      <c r="G14" s="93">
        <v>22</v>
      </c>
      <c r="H14" s="46">
        <v>40</v>
      </c>
      <c r="J14" s="94" t="s">
        <v>74</v>
      </c>
      <c r="K14" s="95">
        <f t="shared" ref="K14:P14" si="9">K15+K16</f>
        <v>8</v>
      </c>
      <c r="L14" s="96">
        <f t="shared" si="9"/>
        <v>10</v>
      </c>
      <c r="M14" s="97">
        <f t="shared" si="9"/>
        <v>18</v>
      </c>
      <c r="N14" s="95">
        <f t="shared" si="9"/>
        <v>12</v>
      </c>
      <c r="O14" s="96">
        <f t="shared" si="9"/>
        <v>10</v>
      </c>
      <c r="P14" s="97">
        <f t="shared" si="9"/>
        <v>22</v>
      </c>
      <c r="Q14" s="99">
        <f t="shared" si="0"/>
        <v>40</v>
      </c>
      <c r="S14" s="94" t="s">
        <v>74</v>
      </c>
      <c r="T14" s="95">
        <f t="shared" ref="T14:Y14" si="10">T15+T16</f>
        <v>8</v>
      </c>
      <c r="U14" s="96">
        <f t="shared" si="10"/>
        <v>10</v>
      </c>
      <c r="V14" s="97">
        <f t="shared" si="10"/>
        <v>18</v>
      </c>
      <c r="W14" s="95">
        <f t="shared" si="10"/>
        <v>11</v>
      </c>
      <c r="X14" s="96">
        <f t="shared" si="10"/>
        <v>9</v>
      </c>
      <c r="Y14" s="97">
        <f t="shared" si="10"/>
        <v>20</v>
      </c>
      <c r="Z14" s="99">
        <f t="shared" si="1"/>
        <v>38</v>
      </c>
      <c r="AB14" s="94" t="s">
        <v>74</v>
      </c>
      <c r="AC14" s="95">
        <f t="shared" ref="AC14:AH14" si="11">AC15+AC16</f>
        <v>0</v>
      </c>
      <c r="AD14" s="96">
        <f t="shared" si="11"/>
        <v>0</v>
      </c>
      <c r="AE14" s="97">
        <f t="shared" si="11"/>
        <v>0</v>
      </c>
      <c r="AF14" s="95">
        <f t="shared" si="11"/>
        <v>-1</v>
      </c>
      <c r="AG14" s="96">
        <f t="shared" si="11"/>
        <v>-1</v>
      </c>
      <c r="AH14" s="97">
        <f t="shared" si="11"/>
        <v>-2</v>
      </c>
      <c r="AI14" s="99">
        <f t="shared" si="2"/>
        <v>-2</v>
      </c>
    </row>
    <row r="15" spans="1:35" x14ac:dyDescent="0.2">
      <c r="A15" s="53">
        <v>1</v>
      </c>
      <c r="B15" s="46">
        <v>4</v>
      </c>
      <c r="C15" s="46">
        <v>5</v>
      </c>
      <c r="D15" s="91">
        <v>9</v>
      </c>
      <c r="E15" s="92">
        <v>6</v>
      </c>
      <c r="F15" s="92">
        <v>5</v>
      </c>
      <c r="G15" s="93">
        <v>11</v>
      </c>
      <c r="H15" s="46">
        <v>20</v>
      </c>
      <c r="J15" s="100">
        <v>1</v>
      </c>
      <c r="K15" s="101">
        <v>4</v>
      </c>
      <c r="L15" s="102">
        <v>5</v>
      </c>
      <c r="M15" s="103">
        <f>K15+L15</f>
        <v>9</v>
      </c>
      <c r="N15" s="104">
        <v>6</v>
      </c>
      <c r="O15" s="102">
        <v>5</v>
      </c>
      <c r="P15" s="103">
        <f>N15+O15</f>
        <v>11</v>
      </c>
      <c r="Q15" s="106">
        <f t="shared" si="0"/>
        <v>20</v>
      </c>
      <c r="S15" s="100">
        <v>1</v>
      </c>
      <c r="T15" s="155">
        <v>4</v>
      </c>
      <c r="U15" s="108">
        <v>5</v>
      </c>
      <c r="V15" s="103">
        <f>T15+U15</f>
        <v>9</v>
      </c>
      <c r="W15" s="153">
        <v>5</v>
      </c>
      <c r="X15" s="108">
        <v>5</v>
      </c>
      <c r="Y15" s="103">
        <f>W15+X15</f>
        <v>10</v>
      </c>
      <c r="Z15" s="106">
        <f t="shared" si="1"/>
        <v>19</v>
      </c>
      <c r="AB15" s="100">
        <v>1</v>
      </c>
      <c r="AC15" s="155">
        <f>T15-K15</f>
        <v>0</v>
      </c>
      <c r="AD15" s="108">
        <f>U15-L15</f>
        <v>0</v>
      </c>
      <c r="AE15" s="103">
        <f>AC15+AD15</f>
        <v>0</v>
      </c>
      <c r="AF15" s="107">
        <f>W15-N15</f>
        <v>-1</v>
      </c>
      <c r="AG15" s="108">
        <f>X15-O15</f>
        <v>0</v>
      </c>
      <c r="AH15" s="103">
        <f>AF15+AG15</f>
        <v>-1</v>
      </c>
      <c r="AI15" s="106">
        <f t="shared" si="2"/>
        <v>-1</v>
      </c>
    </row>
    <row r="16" spans="1:35" x14ac:dyDescent="0.2">
      <c r="A16" s="53">
        <v>50</v>
      </c>
      <c r="B16" s="46">
        <v>4</v>
      </c>
      <c r="C16" s="46">
        <v>5</v>
      </c>
      <c r="D16" s="91">
        <v>9</v>
      </c>
      <c r="E16" s="92">
        <v>6</v>
      </c>
      <c r="F16" s="92">
        <v>5</v>
      </c>
      <c r="G16" s="93">
        <v>11</v>
      </c>
      <c r="H16" s="46">
        <v>20</v>
      </c>
      <c r="J16" s="100">
        <v>50</v>
      </c>
      <c r="K16" s="101">
        <v>4</v>
      </c>
      <c r="L16" s="102">
        <v>5</v>
      </c>
      <c r="M16" s="103">
        <f>K16+L16</f>
        <v>9</v>
      </c>
      <c r="N16" s="101">
        <v>6</v>
      </c>
      <c r="O16" s="102">
        <v>5</v>
      </c>
      <c r="P16" s="103">
        <f>N16+O16</f>
        <v>11</v>
      </c>
      <c r="Q16" s="106">
        <f t="shared" si="0"/>
        <v>20</v>
      </c>
      <c r="S16" s="100">
        <v>50</v>
      </c>
      <c r="T16" s="107">
        <v>4</v>
      </c>
      <c r="U16" s="108">
        <v>5</v>
      </c>
      <c r="V16" s="103">
        <f>T16+U16</f>
        <v>9</v>
      </c>
      <c r="W16" s="107">
        <v>6</v>
      </c>
      <c r="X16" s="132">
        <v>4</v>
      </c>
      <c r="Y16" s="103">
        <f>W16+X16</f>
        <v>10</v>
      </c>
      <c r="Z16" s="106">
        <f t="shared" si="1"/>
        <v>19</v>
      </c>
      <c r="AB16" s="100">
        <v>50</v>
      </c>
      <c r="AC16" s="107">
        <f>T16-K16</f>
        <v>0</v>
      </c>
      <c r="AD16" s="108">
        <f>U16-L16</f>
        <v>0</v>
      </c>
      <c r="AE16" s="103">
        <f>AC16+AD16</f>
        <v>0</v>
      </c>
      <c r="AF16" s="107">
        <f>W16-N16</f>
        <v>0</v>
      </c>
      <c r="AG16" s="132">
        <f>X16-O16</f>
        <v>-1</v>
      </c>
      <c r="AH16" s="103">
        <f>AF16+AG16</f>
        <v>-1</v>
      </c>
      <c r="AI16" s="106">
        <f t="shared" si="2"/>
        <v>-1</v>
      </c>
    </row>
    <row r="17" spans="1:35" x14ac:dyDescent="0.2">
      <c r="A17" s="47" t="s">
        <v>45</v>
      </c>
      <c r="B17" s="46">
        <v>10</v>
      </c>
      <c r="C17" s="46">
        <v>10</v>
      </c>
      <c r="D17" s="91">
        <v>20</v>
      </c>
      <c r="E17" s="92">
        <v>8</v>
      </c>
      <c r="F17" s="92">
        <v>10</v>
      </c>
      <c r="G17" s="93">
        <v>18</v>
      </c>
      <c r="H17" s="46">
        <v>38</v>
      </c>
      <c r="J17" s="94" t="s">
        <v>45</v>
      </c>
      <c r="K17" s="95">
        <f t="shared" ref="K17:P17" si="12">K18+K19</f>
        <v>10</v>
      </c>
      <c r="L17" s="96">
        <f t="shared" si="12"/>
        <v>10</v>
      </c>
      <c r="M17" s="97">
        <f t="shared" si="12"/>
        <v>20</v>
      </c>
      <c r="N17" s="95">
        <f t="shared" si="12"/>
        <v>8</v>
      </c>
      <c r="O17" s="98">
        <f t="shared" si="12"/>
        <v>10</v>
      </c>
      <c r="P17" s="97">
        <f t="shared" si="12"/>
        <v>18</v>
      </c>
      <c r="Q17" s="99">
        <f t="shared" si="0"/>
        <v>38</v>
      </c>
      <c r="S17" s="94" t="s">
        <v>45</v>
      </c>
      <c r="T17" s="95">
        <f t="shared" ref="T17:Y17" si="13">T18+T19</f>
        <v>10</v>
      </c>
      <c r="U17" s="96">
        <f t="shared" si="13"/>
        <v>10</v>
      </c>
      <c r="V17" s="97">
        <f t="shared" si="13"/>
        <v>20</v>
      </c>
      <c r="W17" s="95">
        <f t="shared" si="13"/>
        <v>8</v>
      </c>
      <c r="X17" s="98">
        <f t="shared" si="13"/>
        <v>10</v>
      </c>
      <c r="Y17" s="97">
        <f t="shared" si="13"/>
        <v>18</v>
      </c>
      <c r="Z17" s="99">
        <f t="shared" si="1"/>
        <v>38</v>
      </c>
      <c r="AB17" s="94" t="s">
        <v>45</v>
      </c>
      <c r="AC17" s="95">
        <f t="shared" ref="AC17:AH17" si="14">AC18+AC19</f>
        <v>0</v>
      </c>
      <c r="AD17" s="96">
        <f t="shared" si="14"/>
        <v>0</v>
      </c>
      <c r="AE17" s="97">
        <f t="shared" si="14"/>
        <v>0</v>
      </c>
      <c r="AF17" s="95">
        <f t="shared" si="14"/>
        <v>0</v>
      </c>
      <c r="AG17" s="98">
        <f t="shared" si="14"/>
        <v>0</v>
      </c>
      <c r="AH17" s="97">
        <f t="shared" si="14"/>
        <v>0</v>
      </c>
      <c r="AI17" s="99">
        <f t="shared" si="2"/>
        <v>0</v>
      </c>
    </row>
    <row r="18" spans="1:35" x14ac:dyDescent="0.2">
      <c r="A18" s="53">
        <v>1</v>
      </c>
      <c r="B18" s="46">
        <v>5</v>
      </c>
      <c r="C18" s="46">
        <v>5</v>
      </c>
      <c r="D18" s="91">
        <v>10</v>
      </c>
      <c r="E18" s="92">
        <v>4</v>
      </c>
      <c r="F18" s="92">
        <v>4</v>
      </c>
      <c r="G18" s="93">
        <v>8</v>
      </c>
      <c r="H18" s="46">
        <v>18</v>
      </c>
      <c r="J18" s="100">
        <v>1</v>
      </c>
      <c r="K18" s="101">
        <v>5</v>
      </c>
      <c r="L18" s="102">
        <v>5</v>
      </c>
      <c r="M18" s="103">
        <f>K18+L18</f>
        <v>10</v>
      </c>
      <c r="N18" s="104">
        <v>4</v>
      </c>
      <c r="O18" s="105">
        <v>4</v>
      </c>
      <c r="P18" s="103">
        <f>N18+O18</f>
        <v>8</v>
      </c>
      <c r="Q18" s="106">
        <f t="shared" si="0"/>
        <v>18</v>
      </c>
      <c r="S18" s="100">
        <v>1</v>
      </c>
      <c r="T18" s="107">
        <v>5</v>
      </c>
      <c r="U18" s="108">
        <v>5</v>
      </c>
      <c r="V18" s="103">
        <f>T18+U18</f>
        <v>10</v>
      </c>
      <c r="W18" s="156">
        <v>4</v>
      </c>
      <c r="X18" s="152">
        <v>4</v>
      </c>
      <c r="Y18" s="103">
        <f>W18+X18</f>
        <v>8</v>
      </c>
      <c r="Z18" s="106">
        <f t="shared" si="1"/>
        <v>18</v>
      </c>
      <c r="AB18" s="100">
        <v>1</v>
      </c>
      <c r="AC18" s="107">
        <f>T18-K18</f>
        <v>0</v>
      </c>
      <c r="AD18" s="108">
        <f>U18-L18</f>
        <v>0</v>
      </c>
      <c r="AE18" s="103">
        <f>AC18+AD18</f>
        <v>0</v>
      </c>
      <c r="AF18" s="155">
        <f>W18-N18</f>
        <v>0</v>
      </c>
      <c r="AG18" s="108">
        <f>X18-O18</f>
        <v>0</v>
      </c>
      <c r="AH18" s="103">
        <f>AF18+AG18</f>
        <v>0</v>
      </c>
      <c r="AI18" s="106">
        <f t="shared" si="2"/>
        <v>0</v>
      </c>
    </row>
    <row r="19" spans="1:35" x14ac:dyDescent="0.2">
      <c r="A19" s="53">
        <v>50</v>
      </c>
      <c r="B19" s="46">
        <v>5</v>
      </c>
      <c r="C19" s="46">
        <v>5</v>
      </c>
      <c r="D19" s="91">
        <v>10</v>
      </c>
      <c r="E19" s="92">
        <v>4</v>
      </c>
      <c r="F19" s="92">
        <v>6</v>
      </c>
      <c r="G19" s="93">
        <v>10</v>
      </c>
      <c r="H19" s="46">
        <v>20</v>
      </c>
      <c r="J19" s="100">
        <v>50</v>
      </c>
      <c r="K19" s="101">
        <v>5</v>
      </c>
      <c r="L19" s="102">
        <v>5</v>
      </c>
      <c r="M19" s="103">
        <f>K19+L19</f>
        <v>10</v>
      </c>
      <c r="N19" s="101">
        <v>4</v>
      </c>
      <c r="O19" s="109">
        <v>6</v>
      </c>
      <c r="P19" s="103">
        <f>N19+O19</f>
        <v>10</v>
      </c>
      <c r="Q19" s="106">
        <f t="shared" si="0"/>
        <v>20</v>
      </c>
      <c r="S19" s="100">
        <v>50</v>
      </c>
      <c r="T19" s="107">
        <v>5</v>
      </c>
      <c r="U19" s="108">
        <v>5</v>
      </c>
      <c r="V19" s="103">
        <f>T19+U19</f>
        <v>10</v>
      </c>
      <c r="W19" s="107">
        <v>4</v>
      </c>
      <c r="X19" s="150">
        <v>6</v>
      </c>
      <c r="Y19" s="103">
        <f>W19+X19</f>
        <v>10</v>
      </c>
      <c r="Z19" s="106">
        <f t="shared" si="1"/>
        <v>20</v>
      </c>
      <c r="AB19" s="100">
        <v>50</v>
      </c>
      <c r="AC19" s="107">
        <f>T19-K19</f>
        <v>0</v>
      </c>
      <c r="AD19" s="108">
        <f>U19-L19</f>
        <v>0</v>
      </c>
      <c r="AE19" s="103">
        <f>AC19+AD19</f>
        <v>0</v>
      </c>
      <c r="AF19" s="107">
        <f>W19-N19</f>
        <v>0</v>
      </c>
      <c r="AG19" s="108">
        <f>X19-O19</f>
        <v>0</v>
      </c>
      <c r="AH19" s="103">
        <f>AF19+AG19</f>
        <v>0</v>
      </c>
      <c r="AI19" s="106">
        <f t="shared" si="2"/>
        <v>0</v>
      </c>
    </row>
    <row r="20" spans="1:35" x14ac:dyDescent="0.2">
      <c r="A20" s="45" t="s">
        <v>44</v>
      </c>
      <c r="B20" s="46">
        <v>25</v>
      </c>
      <c r="C20" s="46">
        <v>20</v>
      </c>
      <c r="D20" s="91">
        <v>45</v>
      </c>
      <c r="E20" s="92">
        <v>17</v>
      </c>
      <c r="F20" s="92">
        <v>19</v>
      </c>
      <c r="G20" s="93">
        <v>36</v>
      </c>
      <c r="H20" s="46">
        <v>81</v>
      </c>
      <c r="J20" s="86" t="s">
        <v>44</v>
      </c>
      <c r="K20" s="87">
        <f>K21+K24</f>
        <v>25</v>
      </c>
      <c r="L20" s="88">
        <f>L21+L24</f>
        <v>20</v>
      </c>
      <c r="M20" s="89">
        <f>K20+L20</f>
        <v>45</v>
      </c>
      <c r="N20" s="87">
        <f>N21+N24</f>
        <v>17</v>
      </c>
      <c r="O20" s="88">
        <f>O21+O24</f>
        <v>19</v>
      </c>
      <c r="P20" s="89">
        <f>N20+O20</f>
        <v>36</v>
      </c>
      <c r="Q20" s="90">
        <f t="shared" si="0"/>
        <v>81</v>
      </c>
      <c r="S20" s="86" t="s">
        <v>44</v>
      </c>
      <c r="T20" s="87">
        <f>T21+T24</f>
        <v>25</v>
      </c>
      <c r="U20" s="88">
        <f>U21+U24</f>
        <v>17</v>
      </c>
      <c r="V20" s="89">
        <f>T20+U20</f>
        <v>42</v>
      </c>
      <c r="W20" s="87">
        <f>W21+W24</f>
        <v>16</v>
      </c>
      <c r="X20" s="88">
        <f>X21+X24</f>
        <v>18</v>
      </c>
      <c r="Y20" s="89">
        <f>W20+X20</f>
        <v>34</v>
      </c>
      <c r="Z20" s="90">
        <f t="shared" si="1"/>
        <v>76</v>
      </c>
      <c r="AB20" s="86" t="s">
        <v>44</v>
      </c>
      <c r="AC20" s="87">
        <f>AC21+AC24</f>
        <v>0</v>
      </c>
      <c r="AD20" s="88">
        <f>AD21+AD24</f>
        <v>-3</v>
      </c>
      <c r="AE20" s="89">
        <f>AC20+AD20</f>
        <v>-3</v>
      </c>
      <c r="AF20" s="87">
        <f>AF21+AF24</f>
        <v>-1</v>
      </c>
      <c r="AG20" s="88">
        <f>AG21+AG24</f>
        <v>-1</v>
      </c>
      <c r="AH20" s="89">
        <f>AF20+AG20</f>
        <v>-2</v>
      </c>
      <c r="AI20" s="90">
        <f t="shared" si="2"/>
        <v>-5</v>
      </c>
    </row>
    <row r="21" spans="1:35" x14ac:dyDescent="0.2">
      <c r="A21" s="47" t="s">
        <v>74</v>
      </c>
      <c r="B21" s="46">
        <v>17</v>
      </c>
      <c r="C21" s="46">
        <v>7</v>
      </c>
      <c r="D21" s="91">
        <v>24</v>
      </c>
      <c r="E21" s="92">
        <v>7</v>
      </c>
      <c r="F21" s="92">
        <v>9</v>
      </c>
      <c r="G21" s="93">
        <v>16</v>
      </c>
      <c r="H21" s="46">
        <v>40</v>
      </c>
      <c r="J21" s="94" t="s">
        <v>74</v>
      </c>
      <c r="K21" s="95">
        <f t="shared" ref="K21:P21" si="15">K22+K23</f>
        <v>17</v>
      </c>
      <c r="L21" s="96">
        <f t="shared" si="15"/>
        <v>7</v>
      </c>
      <c r="M21" s="97">
        <f t="shared" si="15"/>
        <v>24</v>
      </c>
      <c r="N21" s="95">
        <f t="shared" si="15"/>
        <v>7</v>
      </c>
      <c r="O21" s="96">
        <f t="shared" si="15"/>
        <v>9</v>
      </c>
      <c r="P21" s="97">
        <f t="shared" si="15"/>
        <v>16</v>
      </c>
      <c r="Q21" s="99">
        <f t="shared" si="0"/>
        <v>40</v>
      </c>
      <c r="S21" s="94" t="s">
        <v>74</v>
      </c>
      <c r="T21" s="95">
        <f t="shared" ref="T21:Y21" si="16">T22+T23</f>
        <v>17</v>
      </c>
      <c r="U21" s="96">
        <f t="shared" si="16"/>
        <v>7</v>
      </c>
      <c r="V21" s="97">
        <f t="shared" si="16"/>
        <v>24</v>
      </c>
      <c r="W21" s="95">
        <f t="shared" si="16"/>
        <v>6</v>
      </c>
      <c r="X21" s="96">
        <f t="shared" si="16"/>
        <v>8</v>
      </c>
      <c r="Y21" s="97">
        <f t="shared" si="16"/>
        <v>14</v>
      </c>
      <c r="Z21" s="99">
        <f t="shared" si="1"/>
        <v>38</v>
      </c>
      <c r="AB21" s="94" t="s">
        <v>74</v>
      </c>
      <c r="AC21" s="95">
        <f t="shared" ref="AC21:AH21" si="17">AC22+AC23</f>
        <v>0</v>
      </c>
      <c r="AD21" s="96">
        <f t="shared" si="17"/>
        <v>0</v>
      </c>
      <c r="AE21" s="97">
        <f t="shared" si="17"/>
        <v>0</v>
      </c>
      <c r="AF21" s="95">
        <f t="shared" si="17"/>
        <v>-1</v>
      </c>
      <c r="AG21" s="96">
        <f t="shared" si="17"/>
        <v>-1</v>
      </c>
      <c r="AH21" s="97">
        <f t="shared" si="17"/>
        <v>-2</v>
      </c>
      <c r="AI21" s="99">
        <f t="shared" si="2"/>
        <v>-2</v>
      </c>
    </row>
    <row r="22" spans="1:35" x14ac:dyDescent="0.2">
      <c r="A22" s="53">
        <v>1</v>
      </c>
      <c r="B22" s="46">
        <v>3</v>
      </c>
      <c r="C22" s="46">
        <v>4</v>
      </c>
      <c r="D22" s="91">
        <v>7</v>
      </c>
      <c r="E22" s="92">
        <v>3</v>
      </c>
      <c r="F22" s="92">
        <v>5</v>
      </c>
      <c r="G22" s="93">
        <v>8</v>
      </c>
      <c r="H22" s="46">
        <v>15</v>
      </c>
      <c r="J22" s="100">
        <v>1</v>
      </c>
      <c r="K22" s="101">
        <v>3</v>
      </c>
      <c r="L22" s="102">
        <v>4</v>
      </c>
      <c r="M22" s="103">
        <f>K22+L22</f>
        <v>7</v>
      </c>
      <c r="N22" s="104">
        <v>3</v>
      </c>
      <c r="O22" s="102">
        <v>5</v>
      </c>
      <c r="P22" s="103">
        <f>N22+O22</f>
        <v>8</v>
      </c>
      <c r="Q22" s="106">
        <f t="shared" si="0"/>
        <v>15</v>
      </c>
      <c r="S22" s="100">
        <v>1</v>
      </c>
      <c r="T22" s="155">
        <v>3</v>
      </c>
      <c r="U22" s="108">
        <v>4</v>
      </c>
      <c r="V22" s="103">
        <f>T22+U22</f>
        <v>7</v>
      </c>
      <c r="W22" s="156">
        <v>3</v>
      </c>
      <c r="X22" s="108">
        <v>5</v>
      </c>
      <c r="Y22" s="103">
        <f>W22+X22</f>
        <v>8</v>
      </c>
      <c r="Z22" s="106">
        <f t="shared" si="1"/>
        <v>15</v>
      </c>
      <c r="AB22" s="100">
        <v>1</v>
      </c>
      <c r="AC22" s="155">
        <f>T22-K22</f>
        <v>0</v>
      </c>
      <c r="AD22" s="108">
        <f>U22-L22</f>
        <v>0</v>
      </c>
      <c r="AE22" s="103">
        <f>AC22+AD22</f>
        <v>0</v>
      </c>
      <c r="AF22" s="155">
        <f>W22-N22</f>
        <v>0</v>
      </c>
      <c r="AG22" s="108">
        <f>X22-O22</f>
        <v>0</v>
      </c>
      <c r="AH22" s="103">
        <f>AF22+AG22</f>
        <v>0</v>
      </c>
      <c r="AI22" s="106">
        <f t="shared" si="2"/>
        <v>0</v>
      </c>
    </row>
    <row r="23" spans="1:35" x14ac:dyDescent="0.2">
      <c r="A23" s="53">
        <v>50</v>
      </c>
      <c r="B23" s="46">
        <v>14</v>
      </c>
      <c r="C23" s="46">
        <v>3</v>
      </c>
      <c r="D23" s="91">
        <v>17</v>
      </c>
      <c r="E23" s="92">
        <v>4</v>
      </c>
      <c r="F23" s="92">
        <v>4</v>
      </c>
      <c r="G23" s="93">
        <v>8</v>
      </c>
      <c r="H23" s="46">
        <v>25</v>
      </c>
      <c r="J23" s="100">
        <v>50</v>
      </c>
      <c r="K23" s="101">
        <v>14</v>
      </c>
      <c r="L23" s="102">
        <v>3</v>
      </c>
      <c r="M23" s="103">
        <f>K23+L23</f>
        <v>17</v>
      </c>
      <c r="N23" s="101">
        <v>4</v>
      </c>
      <c r="O23" s="102">
        <v>4</v>
      </c>
      <c r="P23" s="103">
        <f>N23+O23</f>
        <v>8</v>
      </c>
      <c r="Q23" s="106">
        <f t="shared" si="0"/>
        <v>25</v>
      </c>
      <c r="S23" s="100">
        <v>50</v>
      </c>
      <c r="T23" s="101">
        <v>14</v>
      </c>
      <c r="U23" s="132">
        <v>3</v>
      </c>
      <c r="V23" s="103">
        <f>T23+U23</f>
        <v>17</v>
      </c>
      <c r="W23" s="155">
        <v>3</v>
      </c>
      <c r="X23" s="132">
        <v>3</v>
      </c>
      <c r="Y23" s="103">
        <f>W23+X23</f>
        <v>6</v>
      </c>
      <c r="Z23" s="106">
        <f t="shared" si="1"/>
        <v>23</v>
      </c>
      <c r="AB23" s="100">
        <v>50</v>
      </c>
      <c r="AC23" s="101">
        <f>T23-K23</f>
        <v>0</v>
      </c>
      <c r="AD23" s="132">
        <f>U23-L23</f>
        <v>0</v>
      </c>
      <c r="AE23" s="103">
        <f>AC23+AD23</f>
        <v>0</v>
      </c>
      <c r="AF23" s="155">
        <f>W23-N23</f>
        <v>-1</v>
      </c>
      <c r="AG23" s="132">
        <f>X23-O23</f>
        <v>-1</v>
      </c>
      <c r="AH23" s="103">
        <f>AF23+AG23</f>
        <v>-2</v>
      </c>
      <c r="AI23" s="106">
        <f t="shared" si="2"/>
        <v>-2</v>
      </c>
    </row>
    <row r="24" spans="1:35" x14ac:dyDescent="0.2">
      <c r="A24" s="47" t="s">
        <v>45</v>
      </c>
      <c r="B24" s="46">
        <v>8</v>
      </c>
      <c r="C24" s="46">
        <v>13</v>
      </c>
      <c r="D24" s="91">
        <v>21</v>
      </c>
      <c r="E24" s="92">
        <v>10</v>
      </c>
      <c r="F24" s="92">
        <v>10</v>
      </c>
      <c r="G24" s="93">
        <v>20</v>
      </c>
      <c r="H24" s="46">
        <v>41</v>
      </c>
      <c r="J24" s="94" t="s">
        <v>45</v>
      </c>
      <c r="K24" s="95">
        <f t="shared" ref="K24:P24" si="18">K25+K26</f>
        <v>8</v>
      </c>
      <c r="L24" s="96">
        <f t="shared" si="18"/>
        <v>13</v>
      </c>
      <c r="M24" s="97">
        <f t="shared" si="18"/>
        <v>21</v>
      </c>
      <c r="N24" s="95">
        <f t="shared" si="18"/>
        <v>10</v>
      </c>
      <c r="O24" s="96">
        <f t="shared" si="18"/>
        <v>10</v>
      </c>
      <c r="P24" s="97">
        <f t="shared" si="18"/>
        <v>20</v>
      </c>
      <c r="Q24" s="99">
        <f t="shared" si="0"/>
        <v>41</v>
      </c>
      <c r="S24" s="94" t="s">
        <v>45</v>
      </c>
      <c r="T24" s="95">
        <f t="shared" ref="T24:Y24" si="19">T25+T26</f>
        <v>8</v>
      </c>
      <c r="U24" s="96">
        <f t="shared" si="19"/>
        <v>10</v>
      </c>
      <c r="V24" s="97">
        <f t="shared" si="19"/>
        <v>18</v>
      </c>
      <c r="W24" s="95">
        <f t="shared" si="19"/>
        <v>10</v>
      </c>
      <c r="X24" s="96">
        <f t="shared" si="19"/>
        <v>10</v>
      </c>
      <c r="Y24" s="97">
        <f t="shared" si="19"/>
        <v>20</v>
      </c>
      <c r="Z24" s="99">
        <f t="shared" si="1"/>
        <v>38</v>
      </c>
      <c r="AB24" s="94" t="s">
        <v>45</v>
      </c>
      <c r="AC24" s="95">
        <f t="shared" ref="AC24:AH24" si="20">AC25+AC26</f>
        <v>0</v>
      </c>
      <c r="AD24" s="96">
        <f t="shared" si="20"/>
        <v>-3</v>
      </c>
      <c r="AE24" s="97">
        <f t="shared" si="20"/>
        <v>-3</v>
      </c>
      <c r="AF24" s="95">
        <f t="shared" si="20"/>
        <v>0</v>
      </c>
      <c r="AG24" s="96">
        <f t="shared" si="20"/>
        <v>0</v>
      </c>
      <c r="AH24" s="97">
        <f t="shared" si="20"/>
        <v>0</v>
      </c>
      <c r="AI24" s="99">
        <f t="shared" si="2"/>
        <v>-3</v>
      </c>
    </row>
    <row r="25" spans="1:35" x14ac:dyDescent="0.2">
      <c r="A25" s="53">
        <v>1</v>
      </c>
      <c r="B25" s="46">
        <v>4</v>
      </c>
      <c r="C25" s="46">
        <v>8</v>
      </c>
      <c r="D25" s="91">
        <v>12</v>
      </c>
      <c r="E25" s="92">
        <v>5</v>
      </c>
      <c r="F25" s="92">
        <v>5</v>
      </c>
      <c r="G25" s="93">
        <v>10</v>
      </c>
      <c r="H25" s="46">
        <v>22</v>
      </c>
      <c r="J25" s="100">
        <v>1</v>
      </c>
      <c r="K25" s="101">
        <v>4</v>
      </c>
      <c r="L25" s="102">
        <v>8</v>
      </c>
      <c r="M25" s="103">
        <f>K25+L25</f>
        <v>12</v>
      </c>
      <c r="N25" s="104">
        <v>5</v>
      </c>
      <c r="O25" s="102">
        <v>5</v>
      </c>
      <c r="P25" s="103">
        <f>N25+O25</f>
        <v>10</v>
      </c>
      <c r="Q25" s="106">
        <f t="shared" si="0"/>
        <v>22</v>
      </c>
      <c r="S25" s="100">
        <v>1</v>
      </c>
      <c r="T25" s="107">
        <v>4</v>
      </c>
      <c r="U25" s="102">
        <v>6</v>
      </c>
      <c r="V25" s="103">
        <f>T25+U25</f>
        <v>10</v>
      </c>
      <c r="W25" s="153">
        <v>5</v>
      </c>
      <c r="X25" s="108">
        <v>5</v>
      </c>
      <c r="Y25" s="103">
        <f>W25+X25</f>
        <v>10</v>
      </c>
      <c r="Z25" s="106">
        <f t="shared" si="1"/>
        <v>20</v>
      </c>
      <c r="AB25" s="100">
        <v>1</v>
      </c>
      <c r="AC25" s="107">
        <f>T25-K25</f>
        <v>0</v>
      </c>
      <c r="AD25" s="102">
        <f>U25-L25</f>
        <v>-2</v>
      </c>
      <c r="AE25" s="103">
        <f>AC25+AD25</f>
        <v>-2</v>
      </c>
      <c r="AF25" s="107">
        <f>W25-N25</f>
        <v>0</v>
      </c>
      <c r="AG25" s="108">
        <f>X25-O25</f>
        <v>0</v>
      </c>
      <c r="AH25" s="103">
        <f>AF25+AG25</f>
        <v>0</v>
      </c>
      <c r="AI25" s="106">
        <f t="shared" si="2"/>
        <v>-2</v>
      </c>
    </row>
    <row r="26" spans="1:35" x14ac:dyDescent="0.2">
      <c r="A26" s="53">
        <v>50</v>
      </c>
      <c r="B26" s="46">
        <v>4</v>
      </c>
      <c r="C26" s="46">
        <v>5</v>
      </c>
      <c r="D26" s="91">
        <v>9</v>
      </c>
      <c r="E26" s="92">
        <v>5</v>
      </c>
      <c r="F26" s="92">
        <v>5</v>
      </c>
      <c r="G26" s="93">
        <v>10</v>
      </c>
      <c r="H26" s="46">
        <v>19</v>
      </c>
      <c r="J26" s="100">
        <v>50</v>
      </c>
      <c r="K26" s="101">
        <v>4</v>
      </c>
      <c r="L26" s="102">
        <v>5</v>
      </c>
      <c r="M26" s="103">
        <f>K26+L26</f>
        <v>9</v>
      </c>
      <c r="N26" s="101">
        <v>5</v>
      </c>
      <c r="O26" s="102">
        <v>5</v>
      </c>
      <c r="P26" s="103">
        <f>N26+O26</f>
        <v>10</v>
      </c>
      <c r="Q26" s="106">
        <f t="shared" si="0"/>
        <v>19</v>
      </c>
      <c r="S26" s="100">
        <v>50</v>
      </c>
      <c r="T26" s="107">
        <v>4</v>
      </c>
      <c r="U26" s="108">
        <v>4</v>
      </c>
      <c r="V26" s="103">
        <f>T26+U26</f>
        <v>8</v>
      </c>
      <c r="W26" s="107">
        <v>5</v>
      </c>
      <c r="X26" s="108">
        <v>5</v>
      </c>
      <c r="Y26" s="103">
        <f>W26+X26</f>
        <v>10</v>
      </c>
      <c r="Z26" s="106">
        <f t="shared" si="1"/>
        <v>18</v>
      </c>
      <c r="AB26" s="100">
        <v>50</v>
      </c>
      <c r="AC26" s="107">
        <f>T26-K26</f>
        <v>0</v>
      </c>
      <c r="AD26" s="108">
        <f>U26-L26</f>
        <v>-1</v>
      </c>
      <c r="AE26" s="103">
        <f>AC26+AD26</f>
        <v>-1</v>
      </c>
      <c r="AF26" s="107">
        <f>W26-N26</f>
        <v>0</v>
      </c>
      <c r="AG26" s="108">
        <f>X26-O26</f>
        <v>0</v>
      </c>
      <c r="AH26" s="103">
        <f>AF26+AG26</f>
        <v>0</v>
      </c>
      <c r="AI26" s="106">
        <f t="shared" si="2"/>
        <v>-1</v>
      </c>
    </row>
    <row r="27" spans="1:35" x14ac:dyDescent="0.2">
      <c r="A27" s="45" t="s">
        <v>60</v>
      </c>
      <c r="B27" s="46">
        <v>20</v>
      </c>
      <c r="C27" s="46">
        <v>18</v>
      </c>
      <c r="D27" s="91">
        <v>38</v>
      </c>
      <c r="E27" s="92">
        <v>16</v>
      </c>
      <c r="F27" s="92">
        <v>23</v>
      </c>
      <c r="G27" s="93">
        <v>39</v>
      </c>
      <c r="H27" s="46">
        <v>77</v>
      </c>
      <c r="J27" s="86" t="s">
        <v>60</v>
      </c>
      <c r="K27" s="87">
        <f>K28+K31</f>
        <v>20</v>
      </c>
      <c r="L27" s="88">
        <f>L28+L31</f>
        <v>18</v>
      </c>
      <c r="M27" s="89">
        <f>K27+L27</f>
        <v>38</v>
      </c>
      <c r="N27" s="87">
        <f>N28+N31</f>
        <v>16</v>
      </c>
      <c r="O27" s="88">
        <f>O28+O31</f>
        <v>23</v>
      </c>
      <c r="P27" s="89">
        <f>N27+O27</f>
        <v>39</v>
      </c>
      <c r="Q27" s="90">
        <f t="shared" si="0"/>
        <v>77</v>
      </c>
      <c r="S27" s="86" t="s">
        <v>60</v>
      </c>
      <c r="T27" s="87">
        <f>T28+T31</f>
        <v>18</v>
      </c>
      <c r="U27" s="88">
        <f>U28+U31</f>
        <v>18</v>
      </c>
      <c r="V27" s="89">
        <f>T27+U27</f>
        <v>36</v>
      </c>
      <c r="W27" s="87">
        <f>W28+W31</f>
        <v>16</v>
      </c>
      <c r="X27" s="88">
        <f>X28+X31</f>
        <v>23</v>
      </c>
      <c r="Y27" s="89">
        <f>W27+X27</f>
        <v>39</v>
      </c>
      <c r="Z27" s="90">
        <f t="shared" si="1"/>
        <v>75</v>
      </c>
      <c r="AB27" s="86" t="s">
        <v>60</v>
      </c>
      <c r="AC27" s="87">
        <f>AC28+AC31</f>
        <v>-2</v>
      </c>
      <c r="AD27" s="88">
        <f>AD28+AD31</f>
        <v>0</v>
      </c>
      <c r="AE27" s="89">
        <f>AC27+AD27</f>
        <v>-2</v>
      </c>
      <c r="AF27" s="87">
        <f>AF28+AF31</f>
        <v>0</v>
      </c>
      <c r="AG27" s="88">
        <f>AG28+AG31</f>
        <v>0</v>
      </c>
      <c r="AH27" s="89">
        <f>AF27+AG27</f>
        <v>0</v>
      </c>
      <c r="AI27" s="90">
        <f t="shared" si="2"/>
        <v>-2</v>
      </c>
    </row>
    <row r="28" spans="1:35" x14ac:dyDescent="0.2">
      <c r="A28" s="47" t="s">
        <v>74</v>
      </c>
      <c r="B28" s="46">
        <v>10</v>
      </c>
      <c r="C28" s="46">
        <v>10</v>
      </c>
      <c r="D28" s="91">
        <v>20</v>
      </c>
      <c r="E28" s="92">
        <v>8</v>
      </c>
      <c r="F28" s="92">
        <v>9</v>
      </c>
      <c r="G28" s="93">
        <v>17</v>
      </c>
      <c r="H28" s="46">
        <v>37</v>
      </c>
      <c r="J28" s="94" t="s">
        <v>74</v>
      </c>
      <c r="K28" s="95">
        <f t="shared" ref="K28:P28" si="21">K29+K30</f>
        <v>10</v>
      </c>
      <c r="L28" s="96">
        <f t="shared" si="21"/>
        <v>10</v>
      </c>
      <c r="M28" s="97">
        <f t="shared" si="21"/>
        <v>20</v>
      </c>
      <c r="N28" s="95">
        <f t="shared" si="21"/>
        <v>8</v>
      </c>
      <c r="O28" s="96">
        <f t="shared" si="21"/>
        <v>9</v>
      </c>
      <c r="P28" s="97">
        <f t="shared" si="21"/>
        <v>17</v>
      </c>
      <c r="Q28" s="99">
        <f t="shared" si="0"/>
        <v>37</v>
      </c>
      <c r="S28" s="94" t="s">
        <v>74</v>
      </c>
      <c r="T28" s="95">
        <f t="shared" ref="T28:Y28" si="22">T29+T30</f>
        <v>10</v>
      </c>
      <c r="U28" s="96">
        <f t="shared" si="22"/>
        <v>10</v>
      </c>
      <c r="V28" s="97">
        <f t="shared" si="22"/>
        <v>20</v>
      </c>
      <c r="W28" s="95">
        <f t="shared" si="22"/>
        <v>8</v>
      </c>
      <c r="X28" s="96">
        <f t="shared" si="22"/>
        <v>9</v>
      </c>
      <c r="Y28" s="97">
        <f t="shared" si="22"/>
        <v>17</v>
      </c>
      <c r="Z28" s="99">
        <f t="shared" si="1"/>
        <v>37</v>
      </c>
      <c r="AB28" s="94" t="s">
        <v>74</v>
      </c>
      <c r="AC28" s="95">
        <f t="shared" ref="AC28:AH28" si="23">AC29+AC30</f>
        <v>0</v>
      </c>
      <c r="AD28" s="96">
        <f t="shared" si="23"/>
        <v>0</v>
      </c>
      <c r="AE28" s="97">
        <f t="shared" si="23"/>
        <v>0</v>
      </c>
      <c r="AF28" s="95">
        <f t="shared" si="23"/>
        <v>0</v>
      </c>
      <c r="AG28" s="96">
        <f t="shared" si="23"/>
        <v>0</v>
      </c>
      <c r="AH28" s="97">
        <f t="shared" si="23"/>
        <v>0</v>
      </c>
      <c r="AI28" s="99">
        <f t="shared" si="2"/>
        <v>0</v>
      </c>
    </row>
    <row r="29" spans="1:35" x14ac:dyDescent="0.2">
      <c r="A29" s="53">
        <v>1</v>
      </c>
      <c r="B29" s="46">
        <v>5</v>
      </c>
      <c r="C29" s="46">
        <v>5</v>
      </c>
      <c r="D29" s="91">
        <v>10</v>
      </c>
      <c r="E29" s="92">
        <v>4</v>
      </c>
      <c r="F29" s="92">
        <v>5</v>
      </c>
      <c r="G29" s="93">
        <v>9</v>
      </c>
      <c r="H29" s="46">
        <v>19</v>
      </c>
      <c r="J29" s="100">
        <v>1</v>
      </c>
      <c r="K29" s="101">
        <v>5</v>
      </c>
      <c r="L29" s="102">
        <v>5</v>
      </c>
      <c r="M29" s="103">
        <f>K29+L29</f>
        <v>10</v>
      </c>
      <c r="N29" s="104">
        <v>4</v>
      </c>
      <c r="O29" s="102">
        <v>5</v>
      </c>
      <c r="P29" s="103">
        <f>N29+O29</f>
        <v>9</v>
      </c>
      <c r="Q29" s="106">
        <f t="shared" si="0"/>
        <v>19</v>
      </c>
      <c r="S29" s="100">
        <v>1</v>
      </c>
      <c r="T29" s="107">
        <v>5</v>
      </c>
      <c r="U29" s="108">
        <v>5</v>
      </c>
      <c r="V29" s="103">
        <f>T29+U29</f>
        <v>10</v>
      </c>
      <c r="W29" s="156">
        <v>4</v>
      </c>
      <c r="X29" s="108">
        <v>5</v>
      </c>
      <c r="Y29" s="103">
        <f>W29+X29</f>
        <v>9</v>
      </c>
      <c r="Z29" s="106">
        <f t="shared" si="1"/>
        <v>19</v>
      </c>
      <c r="AB29" s="100">
        <v>1</v>
      </c>
      <c r="AC29" s="107">
        <f>T29-K29</f>
        <v>0</v>
      </c>
      <c r="AD29" s="108">
        <f>U29-L29</f>
        <v>0</v>
      </c>
      <c r="AE29" s="103">
        <f>AC29+AD29</f>
        <v>0</v>
      </c>
      <c r="AF29" s="155">
        <f>W29-N29</f>
        <v>0</v>
      </c>
      <c r="AG29" s="108">
        <f>X29-O29</f>
        <v>0</v>
      </c>
      <c r="AH29" s="103">
        <f>AF29+AG29</f>
        <v>0</v>
      </c>
      <c r="AI29" s="106">
        <f t="shared" si="2"/>
        <v>0</v>
      </c>
    </row>
    <row r="30" spans="1:35" x14ac:dyDescent="0.2">
      <c r="A30" s="53">
        <v>50</v>
      </c>
      <c r="B30" s="46">
        <v>5</v>
      </c>
      <c r="C30" s="46">
        <v>5</v>
      </c>
      <c r="D30" s="91">
        <v>10</v>
      </c>
      <c r="E30" s="92">
        <v>4</v>
      </c>
      <c r="F30" s="92">
        <v>4</v>
      </c>
      <c r="G30" s="93">
        <v>8</v>
      </c>
      <c r="H30" s="46">
        <v>18</v>
      </c>
      <c r="J30" s="100">
        <v>50</v>
      </c>
      <c r="K30" s="101">
        <v>5</v>
      </c>
      <c r="L30" s="102">
        <v>5</v>
      </c>
      <c r="M30" s="103">
        <f>K30+L30</f>
        <v>10</v>
      </c>
      <c r="N30" s="101">
        <v>4</v>
      </c>
      <c r="O30" s="102">
        <v>4</v>
      </c>
      <c r="P30" s="103">
        <f>N30+O30</f>
        <v>8</v>
      </c>
      <c r="Q30" s="106">
        <f t="shared" si="0"/>
        <v>18</v>
      </c>
      <c r="S30" s="100">
        <v>50</v>
      </c>
      <c r="T30" s="107">
        <v>5</v>
      </c>
      <c r="U30" s="108">
        <v>5</v>
      </c>
      <c r="V30" s="103">
        <f>T30+U30</f>
        <v>10</v>
      </c>
      <c r="W30" s="107">
        <v>4</v>
      </c>
      <c r="X30" s="108">
        <v>4</v>
      </c>
      <c r="Y30" s="103">
        <f>W30+X30</f>
        <v>8</v>
      </c>
      <c r="Z30" s="106">
        <f t="shared" si="1"/>
        <v>18</v>
      </c>
      <c r="AB30" s="100">
        <v>50</v>
      </c>
      <c r="AC30" s="107">
        <f>T30-K30</f>
        <v>0</v>
      </c>
      <c r="AD30" s="108">
        <f>U30-L30</f>
        <v>0</v>
      </c>
      <c r="AE30" s="103">
        <f>AC30+AD30</f>
        <v>0</v>
      </c>
      <c r="AF30" s="107">
        <f>W30-N30</f>
        <v>0</v>
      </c>
      <c r="AG30" s="108">
        <f>X30-O30</f>
        <v>0</v>
      </c>
      <c r="AH30" s="103">
        <f>AF30+AG30</f>
        <v>0</v>
      </c>
      <c r="AI30" s="106">
        <f t="shared" si="2"/>
        <v>0</v>
      </c>
    </row>
    <row r="31" spans="1:35" x14ac:dyDescent="0.2">
      <c r="A31" s="47" t="s">
        <v>45</v>
      </c>
      <c r="B31" s="46">
        <v>10</v>
      </c>
      <c r="C31" s="46">
        <v>8</v>
      </c>
      <c r="D31" s="91">
        <v>18</v>
      </c>
      <c r="E31" s="92">
        <v>8</v>
      </c>
      <c r="F31" s="92">
        <v>14</v>
      </c>
      <c r="G31" s="93">
        <v>22</v>
      </c>
      <c r="H31" s="46">
        <v>40</v>
      </c>
      <c r="J31" s="94" t="s">
        <v>45</v>
      </c>
      <c r="K31" s="95">
        <f t="shared" ref="K31:P31" si="24">K32+K33</f>
        <v>10</v>
      </c>
      <c r="L31" s="96">
        <f t="shared" si="24"/>
        <v>8</v>
      </c>
      <c r="M31" s="97">
        <f t="shared" si="24"/>
        <v>18</v>
      </c>
      <c r="N31" s="95">
        <f t="shared" si="24"/>
        <v>8</v>
      </c>
      <c r="O31" s="96">
        <f t="shared" si="24"/>
        <v>14</v>
      </c>
      <c r="P31" s="97">
        <f t="shared" si="24"/>
        <v>22</v>
      </c>
      <c r="Q31" s="99">
        <f t="shared" si="0"/>
        <v>40</v>
      </c>
      <c r="S31" s="94" t="s">
        <v>45</v>
      </c>
      <c r="T31" s="95">
        <f t="shared" ref="T31:Y31" si="25">T32+T33</f>
        <v>8</v>
      </c>
      <c r="U31" s="96">
        <f t="shared" si="25"/>
        <v>8</v>
      </c>
      <c r="V31" s="97">
        <f t="shared" si="25"/>
        <v>16</v>
      </c>
      <c r="W31" s="95">
        <f t="shared" si="25"/>
        <v>8</v>
      </c>
      <c r="X31" s="96">
        <f t="shared" si="25"/>
        <v>14</v>
      </c>
      <c r="Y31" s="97">
        <f t="shared" si="25"/>
        <v>22</v>
      </c>
      <c r="Z31" s="99">
        <f t="shared" si="1"/>
        <v>38</v>
      </c>
      <c r="AB31" s="94" t="s">
        <v>45</v>
      </c>
      <c r="AC31" s="95">
        <f t="shared" ref="AC31:AH31" si="26">AC32+AC33</f>
        <v>-2</v>
      </c>
      <c r="AD31" s="96">
        <f t="shared" si="26"/>
        <v>0</v>
      </c>
      <c r="AE31" s="97">
        <f t="shared" si="26"/>
        <v>-2</v>
      </c>
      <c r="AF31" s="95">
        <f t="shared" si="26"/>
        <v>0</v>
      </c>
      <c r="AG31" s="96">
        <f t="shared" si="26"/>
        <v>0</v>
      </c>
      <c r="AH31" s="97">
        <f t="shared" si="26"/>
        <v>0</v>
      </c>
      <c r="AI31" s="99">
        <f t="shared" si="2"/>
        <v>-2</v>
      </c>
    </row>
    <row r="32" spans="1:35" x14ac:dyDescent="0.2">
      <c r="A32" s="53">
        <v>1</v>
      </c>
      <c r="B32" s="46">
        <v>5</v>
      </c>
      <c r="C32" s="46">
        <v>4</v>
      </c>
      <c r="D32" s="91">
        <v>9</v>
      </c>
      <c r="E32" s="92">
        <v>4</v>
      </c>
      <c r="F32" s="92">
        <v>9</v>
      </c>
      <c r="G32" s="93">
        <v>13</v>
      </c>
      <c r="H32" s="46">
        <v>22</v>
      </c>
      <c r="J32" s="100">
        <v>1</v>
      </c>
      <c r="K32" s="101">
        <v>5</v>
      </c>
      <c r="L32" s="102">
        <v>4</v>
      </c>
      <c r="M32" s="103">
        <f>K32+L32</f>
        <v>9</v>
      </c>
      <c r="N32" s="104">
        <v>4</v>
      </c>
      <c r="O32" s="102">
        <v>9</v>
      </c>
      <c r="P32" s="103">
        <f>N32+O32</f>
        <v>13</v>
      </c>
      <c r="Q32" s="106">
        <f t="shared" si="0"/>
        <v>22</v>
      </c>
      <c r="S32" s="100">
        <v>1</v>
      </c>
      <c r="T32" s="107">
        <v>4</v>
      </c>
      <c r="U32" s="108">
        <v>4</v>
      </c>
      <c r="V32" s="103">
        <f>T32+U32</f>
        <v>8</v>
      </c>
      <c r="W32" s="153">
        <v>4</v>
      </c>
      <c r="X32" s="102">
        <v>9</v>
      </c>
      <c r="Y32" s="103">
        <f>W32+X32</f>
        <v>13</v>
      </c>
      <c r="Z32" s="106">
        <f t="shared" si="1"/>
        <v>21</v>
      </c>
      <c r="AB32" s="100">
        <v>1</v>
      </c>
      <c r="AC32" s="107">
        <f>T32-K32</f>
        <v>-1</v>
      </c>
      <c r="AD32" s="108">
        <f>U32-L32</f>
        <v>0</v>
      </c>
      <c r="AE32" s="103">
        <f>AC32+AD32</f>
        <v>-1</v>
      </c>
      <c r="AF32" s="107">
        <f>W32-N32</f>
        <v>0</v>
      </c>
      <c r="AG32" s="102">
        <f>X32-O32</f>
        <v>0</v>
      </c>
      <c r="AH32" s="103">
        <f>AF32+AG32</f>
        <v>0</v>
      </c>
      <c r="AI32" s="106">
        <f t="shared" si="2"/>
        <v>-1</v>
      </c>
    </row>
    <row r="33" spans="1:35" x14ac:dyDescent="0.2">
      <c r="A33" s="53">
        <v>50</v>
      </c>
      <c r="B33" s="46">
        <v>5</v>
      </c>
      <c r="C33" s="46">
        <v>4</v>
      </c>
      <c r="D33" s="91">
        <v>9</v>
      </c>
      <c r="E33" s="92">
        <v>4</v>
      </c>
      <c r="F33" s="92">
        <v>5</v>
      </c>
      <c r="G33" s="93">
        <v>9</v>
      </c>
      <c r="H33" s="46">
        <v>18</v>
      </c>
      <c r="J33" s="100">
        <v>50</v>
      </c>
      <c r="K33" s="101">
        <v>5</v>
      </c>
      <c r="L33" s="102">
        <v>4</v>
      </c>
      <c r="M33" s="103">
        <f>K33+L33</f>
        <v>9</v>
      </c>
      <c r="N33" s="101">
        <v>4</v>
      </c>
      <c r="O33" s="102">
        <v>5</v>
      </c>
      <c r="P33" s="103">
        <f>N33+O33</f>
        <v>9</v>
      </c>
      <c r="Q33" s="106">
        <f t="shared" si="0"/>
        <v>18</v>
      </c>
      <c r="S33" s="100">
        <v>50</v>
      </c>
      <c r="T33" s="107">
        <v>4</v>
      </c>
      <c r="U33" s="108">
        <v>4</v>
      </c>
      <c r="V33" s="103">
        <f>T33+U33</f>
        <v>8</v>
      </c>
      <c r="W33" s="107">
        <v>4</v>
      </c>
      <c r="X33" s="108">
        <v>5</v>
      </c>
      <c r="Y33" s="103">
        <f>W33+X33</f>
        <v>9</v>
      </c>
      <c r="Z33" s="106">
        <f t="shared" si="1"/>
        <v>17</v>
      </c>
      <c r="AB33" s="100">
        <v>50</v>
      </c>
      <c r="AC33" s="107">
        <f>T33-K33</f>
        <v>-1</v>
      </c>
      <c r="AD33" s="108">
        <f>U33-L33</f>
        <v>0</v>
      </c>
      <c r="AE33" s="103">
        <f>AC33+AD33</f>
        <v>-1</v>
      </c>
      <c r="AF33" s="107">
        <f>W33-N33</f>
        <v>0</v>
      </c>
      <c r="AG33" s="108">
        <f>X33-O33</f>
        <v>0</v>
      </c>
      <c r="AH33" s="103">
        <f>AF33+AG33</f>
        <v>0</v>
      </c>
      <c r="AI33" s="106">
        <f t="shared" si="2"/>
        <v>-1</v>
      </c>
    </row>
    <row r="34" spans="1:35" x14ac:dyDescent="0.2">
      <c r="A34" s="45" t="s">
        <v>64</v>
      </c>
      <c r="B34" s="46">
        <v>22</v>
      </c>
      <c r="C34" s="46">
        <v>18</v>
      </c>
      <c r="D34" s="91">
        <v>40</v>
      </c>
      <c r="E34" s="92">
        <v>20</v>
      </c>
      <c r="F34" s="92">
        <v>19</v>
      </c>
      <c r="G34" s="93">
        <v>39</v>
      </c>
      <c r="H34" s="46">
        <v>79</v>
      </c>
      <c r="J34" s="86" t="s">
        <v>64</v>
      </c>
      <c r="K34" s="87">
        <f>K35+K38</f>
        <v>22</v>
      </c>
      <c r="L34" s="88">
        <f>L35+L38</f>
        <v>18</v>
      </c>
      <c r="M34" s="89">
        <f>K34+L34</f>
        <v>40</v>
      </c>
      <c r="N34" s="87">
        <f>N35+N38</f>
        <v>20</v>
      </c>
      <c r="O34" s="88">
        <f>O35+O38</f>
        <v>19</v>
      </c>
      <c r="P34" s="89">
        <f>N34+O34</f>
        <v>39</v>
      </c>
      <c r="Q34" s="90">
        <f t="shared" si="0"/>
        <v>79</v>
      </c>
      <c r="S34" s="86" t="s">
        <v>64</v>
      </c>
      <c r="T34" s="87">
        <f>T35+T38</f>
        <v>20</v>
      </c>
      <c r="U34" s="88">
        <f>U35+U38</f>
        <v>18</v>
      </c>
      <c r="V34" s="89">
        <f>T34+U34</f>
        <v>38</v>
      </c>
      <c r="W34" s="87">
        <f>W35+W38</f>
        <v>20</v>
      </c>
      <c r="X34" s="88">
        <f>X35+X38</f>
        <v>19</v>
      </c>
      <c r="Y34" s="89">
        <f>W34+X34</f>
        <v>39</v>
      </c>
      <c r="Z34" s="90">
        <f t="shared" si="1"/>
        <v>77</v>
      </c>
      <c r="AB34" s="86" t="s">
        <v>64</v>
      </c>
      <c r="AC34" s="87">
        <f>AC35+AC38</f>
        <v>-2</v>
      </c>
      <c r="AD34" s="88">
        <f>AD35+AD38</f>
        <v>0</v>
      </c>
      <c r="AE34" s="89">
        <f>AC34+AD34</f>
        <v>-2</v>
      </c>
      <c r="AF34" s="87">
        <f>AF35+AF38</f>
        <v>0</v>
      </c>
      <c r="AG34" s="88">
        <f>AG35+AG38</f>
        <v>0</v>
      </c>
      <c r="AH34" s="89">
        <f>AF34+AG34</f>
        <v>0</v>
      </c>
      <c r="AI34" s="90">
        <f t="shared" si="2"/>
        <v>-2</v>
      </c>
    </row>
    <row r="35" spans="1:35" x14ac:dyDescent="0.2">
      <c r="A35" s="47" t="s">
        <v>74</v>
      </c>
      <c r="B35" s="46">
        <v>8</v>
      </c>
      <c r="C35" s="46">
        <v>10</v>
      </c>
      <c r="D35" s="91">
        <v>18</v>
      </c>
      <c r="E35" s="92">
        <v>10</v>
      </c>
      <c r="F35" s="92">
        <v>10</v>
      </c>
      <c r="G35" s="93">
        <v>20</v>
      </c>
      <c r="H35" s="46">
        <v>38</v>
      </c>
      <c r="J35" s="94" t="s">
        <v>74</v>
      </c>
      <c r="K35" s="95">
        <f t="shared" ref="K35:P35" si="27">K36+K37</f>
        <v>8</v>
      </c>
      <c r="L35" s="96">
        <f t="shared" si="27"/>
        <v>10</v>
      </c>
      <c r="M35" s="97">
        <f t="shared" si="27"/>
        <v>18</v>
      </c>
      <c r="N35" s="95">
        <f t="shared" si="27"/>
        <v>10</v>
      </c>
      <c r="O35" s="96">
        <f t="shared" si="27"/>
        <v>10</v>
      </c>
      <c r="P35" s="97">
        <f t="shared" si="27"/>
        <v>20</v>
      </c>
      <c r="Q35" s="99">
        <f t="shared" si="0"/>
        <v>38</v>
      </c>
      <c r="S35" s="94" t="s">
        <v>74</v>
      </c>
      <c r="T35" s="95">
        <f t="shared" ref="T35:Y35" si="28">T36+T37</f>
        <v>8</v>
      </c>
      <c r="U35" s="96">
        <f t="shared" si="28"/>
        <v>10</v>
      </c>
      <c r="V35" s="97">
        <f t="shared" si="28"/>
        <v>18</v>
      </c>
      <c r="W35" s="95">
        <f t="shared" si="28"/>
        <v>10</v>
      </c>
      <c r="X35" s="96">
        <f t="shared" si="28"/>
        <v>10</v>
      </c>
      <c r="Y35" s="97">
        <f t="shared" si="28"/>
        <v>20</v>
      </c>
      <c r="Z35" s="99">
        <f t="shared" si="1"/>
        <v>38</v>
      </c>
      <c r="AB35" s="94" t="s">
        <v>74</v>
      </c>
      <c r="AC35" s="95">
        <f t="shared" ref="AC35:AH35" si="29">AC36+AC37</f>
        <v>0</v>
      </c>
      <c r="AD35" s="96">
        <f t="shared" si="29"/>
        <v>0</v>
      </c>
      <c r="AE35" s="97">
        <f t="shared" si="29"/>
        <v>0</v>
      </c>
      <c r="AF35" s="95">
        <f t="shared" si="29"/>
        <v>0</v>
      </c>
      <c r="AG35" s="96">
        <f t="shared" si="29"/>
        <v>0</v>
      </c>
      <c r="AH35" s="97">
        <f t="shared" si="29"/>
        <v>0</v>
      </c>
      <c r="AI35" s="99">
        <f t="shared" si="2"/>
        <v>0</v>
      </c>
    </row>
    <row r="36" spans="1:35" x14ac:dyDescent="0.2">
      <c r="A36" s="53">
        <v>1</v>
      </c>
      <c r="B36" s="46">
        <v>4</v>
      </c>
      <c r="C36" s="46">
        <v>5</v>
      </c>
      <c r="D36" s="91">
        <v>9</v>
      </c>
      <c r="E36" s="92">
        <v>5</v>
      </c>
      <c r="F36" s="92">
        <v>5</v>
      </c>
      <c r="G36" s="93">
        <v>10</v>
      </c>
      <c r="H36" s="46">
        <v>19</v>
      </c>
      <c r="J36" s="100">
        <v>1</v>
      </c>
      <c r="K36" s="101">
        <v>4</v>
      </c>
      <c r="L36" s="102">
        <v>5</v>
      </c>
      <c r="M36" s="103">
        <f>K36+L36</f>
        <v>9</v>
      </c>
      <c r="N36" s="104">
        <v>5</v>
      </c>
      <c r="O36" s="102">
        <v>5</v>
      </c>
      <c r="P36" s="103">
        <f>N36+O36</f>
        <v>10</v>
      </c>
      <c r="Q36" s="106">
        <f t="shared" si="0"/>
        <v>19</v>
      </c>
      <c r="S36" s="100">
        <v>1</v>
      </c>
      <c r="T36" s="107">
        <v>4</v>
      </c>
      <c r="U36" s="108">
        <v>5</v>
      </c>
      <c r="V36" s="103">
        <f>T36+U36</f>
        <v>9</v>
      </c>
      <c r="W36" s="153">
        <v>5</v>
      </c>
      <c r="X36" s="108">
        <v>5</v>
      </c>
      <c r="Y36" s="103">
        <f>W36+X36</f>
        <v>10</v>
      </c>
      <c r="Z36" s="106">
        <f t="shared" si="1"/>
        <v>19</v>
      </c>
      <c r="AB36" s="100">
        <v>1</v>
      </c>
      <c r="AC36" s="107">
        <f>T36-K36</f>
        <v>0</v>
      </c>
      <c r="AD36" s="108">
        <f>U36-L36</f>
        <v>0</v>
      </c>
      <c r="AE36" s="103">
        <f>AC36+AD36</f>
        <v>0</v>
      </c>
      <c r="AF36" s="107">
        <f>W36-N36</f>
        <v>0</v>
      </c>
      <c r="AG36" s="108">
        <f>X36-O36</f>
        <v>0</v>
      </c>
      <c r="AH36" s="103">
        <f>AF36+AG36</f>
        <v>0</v>
      </c>
      <c r="AI36" s="106">
        <f t="shared" si="2"/>
        <v>0</v>
      </c>
    </row>
    <row r="37" spans="1:35" x14ac:dyDescent="0.2">
      <c r="A37" s="53">
        <v>50</v>
      </c>
      <c r="B37" s="46">
        <v>4</v>
      </c>
      <c r="C37" s="46">
        <v>5</v>
      </c>
      <c r="D37" s="91">
        <v>9</v>
      </c>
      <c r="E37" s="92">
        <v>5</v>
      </c>
      <c r="F37" s="92">
        <v>5</v>
      </c>
      <c r="G37" s="93">
        <v>10</v>
      </c>
      <c r="H37" s="46">
        <v>19</v>
      </c>
      <c r="J37" s="100">
        <v>50</v>
      </c>
      <c r="K37" s="101">
        <v>4</v>
      </c>
      <c r="L37" s="102">
        <v>5</v>
      </c>
      <c r="M37" s="103">
        <f>K37+L37</f>
        <v>9</v>
      </c>
      <c r="N37" s="101">
        <v>5</v>
      </c>
      <c r="O37" s="102">
        <v>5</v>
      </c>
      <c r="P37" s="103">
        <f>N37+O37</f>
        <v>10</v>
      </c>
      <c r="Q37" s="106">
        <f t="shared" si="0"/>
        <v>19</v>
      </c>
      <c r="S37" s="100">
        <v>50</v>
      </c>
      <c r="T37" s="107">
        <v>4</v>
      </c>
      <c r="U37" s="108">
        <v>5</v>
      </c>
      <c r="V37" s="103">
        <f>T37+U37</f>
        <v>9</v>
      </c>
      <c r="W37" s="107">
        <v>5</v>
      </c>
      <c r="X37" s="108">
        <v>5</v>
      </c>
      <c r="Y37" s="103">
        <f>W37+X37</f>
        <v>10</v>
      </c>
      <c r="Z37" s="106">
        <f t="shared" si="1"/>
        <v>19</v>
      </c>
      <c r="AB37" s="100">
        <v>50</v>
      </c>
      <c r="AC37" s="107">
        <f>T37-K37</f>
        <v>0</v>
      </c>
      <c r="AD37" s="108">
        <f>U37-L37</f>
        <v>0</v>
      </c>
      <c r="AE37" s="103">
        <f>AC37+AD37</f>
        <v>0</v>
      </c>
      <c r="AF37" s="107">
        <f>W37-N37</f>
        <v>0</v>
      </c>
      <c r="AG37" s="108">
        <f>X37-O37</f>
        <v>0</v>
      </c>
      <c r="AH37" s="103">
        <f>AF37+AG37</f>
        <v>0</v>
      </c>
      <c r="AI37" s="106">
        <f t="shared" si="2"/>
        <v>0</v>
      </c>
    </row>
    <row r="38" spans="1:35" x14ac:dyDescent="0.2">
      <c r="A38" s="47" t="s">
        <v>45</v>
      </c>
      <c r="B38" s="46">
        <v>14</v>
      </c>
      <c r="C38" s="46">
        <v>8</v>
      </c>
      <c r="D38" s="91">
        <v>22</v>
      </c>
      <c r="E38" s="92">
        <v>10</v>
      </c>
      <c r="F38" s="92">
        <v>9</v>
      </c>
      <c r="G38" s="93">
        <v>19</v>
      </c>
      <c r="H38" s="46">
        <v>41</v>
      </c>
      <c r="J38" s="94" t="s">
        <v>45</v>
      </c>
      <c r="K38" s="95">
        <f t="shared" ref="K38:P38" si="30">K39+K40</f>
        <v>14</v>
      </c>
      <c r="L38" s="96">
        <f t="shared" si="30"/>
        <v>8</v>
      </c>
      <c r="M38" s="97">
        <f t="shared" si="30"/>
        <v>22</v>
      </c>
      <c r="N38" s="95">
        <f t="shared" si="30"/>
        <v>10</v>
      </c>
      <c r="O38" s="96">
        <f t="shared" si="30"/>
        <v>9</v>
      </c>
      <c r="P38" s="97">
        <f t="shared" si="30"/>
        <v>19</v>
      </c>
      <c r="Q38" s="99">
        <f t="shared" si="0"/>
        <v>41</v>
      </c>
      <c r="S38" s="94" t="s">
        <v>45</v>
      </c>
      <c r="T38" s="95">
        <f t="shared" ref="T38:Y38" si="31">T39+T40</f>
        <v>12</v>
      </c>
      <c r="U38" s="96">
        <f t="shared" si="31"/>
        <v>8</v>
      </c>
      <c r="V38" s="97">
        <f t="shared" si="31"/>
        <v>20</v>
      </c>
      <c r="W38" s="95">
        <f t="shared" si="31"/>
        <v>10</v>
      </c>
      <c r="X38" s="96">
        <f t="shared" si="31"/>
        <v>9</v>
      </c>
      <c r="Y38" s="97">
        <f t="shared" si="31"/>
        <v>19</v>
      </c>
      <c r="Z38" s="99">
        <f t="shared" si="1"/>
        <v>39</v>
      </c>
      <c r="AB38" s="94" t="s">
        <v>45</v>
      </c>
      <c r="AC38" s="95">
        <f t="shared" ref="AC38:AH38" si="32">AC39+AC40</f>
        <v>-2</v>
      </c>
      <c r="AD38" s="96">
        <f t="shared" si="32"/>
        <v>0</v>
      </c>
      <c r="AE38" s="97">
        <f t="shared" si="32"/>
        <v>-2</v>
      </c>
      <c r="AF38" s="95">
        <f t="shared" si="32"/>
        <v>0</v>
      </c>
      <c r="AG38" s="96">
        <f t="shared" si="32"/>
        <v>0</v>
      </c>
      <c r="AH38" s="97">
        <f t="shared" si="32"/>
        <v>0</v>
      </c>
      <c r="AI38" s="99">
        <f t="shared" si="2"/>
        <v>-2</v>
      </c>
    </row>
    <row r="39" spans="1:35" x14ac:dyDescent="0.2">
      <c r="A39" s="53">
        <v>1</v>
      </c>
      <c r="B39" s="46">
        <v>10</v>
      </c>
      <c r="C39" s="46">
        <v>4</v>
      </c>
      <c r="D39" s="91">
        <v>14</v>
      </c>
      <c r="E39" s="92">
        <v>5</v>
      </c>
      <c r="F39" s="92">
        <v>5</v>
      </c>
      <c r="G39" s="93">
        <v>10</v>
      </c>
      <c r="H39" s="46">
        <v>24</v>
      </c>
      <c r="J39" s="100">
        <v>1</v>
      </c>
      <c r="K39" s="101">
        <v>10</v>
      </c>
      <c r="L39" s="102">
        <v>4</v>
      </c>
      <c r="M39" s="103">
        <f>K39+L39</f>
        <v>14</v>
      </c>
      <c r="N39" s="104">
        <v>5</v>
      </c>
      <c r="O39" s="102">
        <v>5</v>
      </c>
      <c r="P39" s="103">
        <f>N39+O39</f>
        <v>10</v>
      </c>
      <c r="Q39" s="106">
        <f t="shared" si="0"/>
        <v>24</v>
      </c>
      <c r="S39" s="100">
        <v>1</v>
      </c>
      <c r="T39" s="101">
        <v>9</v>
      </c>
      <c r="U39" s="108">
        <v>4</v>
      </c>
      <c r="V39" s="103">
        <f>T39+U39</f>
        <v>13</v>
      </c>
      <c r="W39" s="153">
        <v>5</v>
      </c>
      <c r="X39" s="108">
        <v>5</v>
      </c>
      <c r="Y39" s="103">
        <f>W39+X39</f>
        <v>10</v>
      </c>
      <c r="Z39" s="106">
        <f t="shared" si="1"/>
        <v>23</v>
      </c>
      <c r="AB39" s="100">
        <v>1</v>
      </c>
      <c r="AC39" s="101">
        <f>T39-K39</f>
        <v>-1</v>
      </c>
      <c r="AD39" s="108">
        <f>U39-L39</f>
        <v>0</v>
      </c>
      <c r="AE39" s="103">
        <f>AC39+AD39</f>
        <v>-1</v>
      </c>
      <c r="AF39" s="107">
        <f>W39-N39</f>
        <v>0</v>
      </c>
      <c r="AG39" s="108">
        <f>X39-O39</f>
        <v>0</v>
      </c>
      <c r="AH39" s="103">
        <f>AF39+AG39</f>
        <v>0</v>
      </c>
      <c r="AI39" s="106">
        <f t="shared" si="2"/>
        <v>-1</v>
      </c>
    </row>
    <row r="40" spans="1:35" x14ac:dyDescent="0.2">
      <c r="A40" s="53">
        <v>50</v>
      </c>
      <c r="B40" s="46">
        <v>4</v>
      </c>
      <c r="C40" s="46">
        <v>4</v>
      </c>
      <c r="D40" s="91">
        <v>8</v>
      </c>
      <c r="E40" s="92">
        <v>5</v>
      </c>
      <c r="F40" s="92">
        <v>4</v>
      </c>
      <c r="G40" s="93">
        <v>9</v>
      </c>
      <c r="H40" s="46">
        <v>17</v>
      </c>
      <c r="J40" s="100">
        <v>50</v>
      </c>
      <c r="K40" s="101">
        <v>4</v>
      </c>
      <c r="L40" s="102">
        <v>4</v>
      </c>
      <c r="M40" s="103">
        <f>K40+L40</f>
        <v>8</v>
      </c>
      <c r="N40" s="101">
        <v>5</v>
      </c>
      <c r="O40" s="102">
        <v>4</v>
      </c>
      <c r="P40" s="103">
        <f>N40+O40</f>
        <v>9</v>
      </c>
      <c r="Q40" s="106">
        <f t="shared" si="0"/>
        <v>17</v>
      </c>
      <c r="S40" s="100">
        <v>50</v>
      </c>
      <c r="T40" s="155">
        <v>3</v>
      </c>
      <c r="U40" s="108">
        <v>4</v>
      </c>
      <c r="V40" s="103">
        <f>T40+U40</f>
        <v>7</v>
      </c>
      <c r="W40" s="107">
        <v>5</v>
      </c>
      <c r="X40" s="132">
        <v>4</v>
      </c>
      <c r="Y40" s="103">
        <f>W40+X40</f>
        <v>9</v>
      </c>
      <c r="Z40" s="106">
        <f t="shared" si="1"/>
        <v>16</v>
      </c>
      <c r="AB40" s="100">
        <v>50</v>
      </c>
      <c r="AC40" s="155">
        <f>T40-K40</f>
        <v>-1</v>
      </c>
      <c r="AD40" s="108">
        <f>U40-L40</f>
        <v>0</v>
      </c>
      <c r="AE40" s="103">
        <f>AC40+AD40</f>
        <v>-1</v>
      </c>
      <c r="AF40" s="107">
        <f>W40-N40</f>
        <v>0</v>
      </c>
      <c r="AG40" s="132">
        <f>X40-O40</f>
        <v>0</v>
      </c>
      <c r="AH40" s="103">
        <f>AF40+AG40</f>
        <v>0</v>
      </c>
      <c r="AI40" s="106">
        <f t="shared" si="2"/>
        <v>-1</v>
      </c>
    </row>
    <row r="41" spans="1:35" x14ac:dyDescent="0.2">
      <c r="A41" s="45" t="s">
        <v>70</v>
      </c>
      <c r="B41" s="46">
        <v>18</v>
      </c>
      <c r="C41" s="46">
        <v>21</v>
      </c>
      <c r="D41" s="91">
        <v>39</v>
      </c>
      <c r="E41" s="92">
        <v>20</v>
      </c>
      <c r="F41" s="92">
        <v>21</v>
      </c>
      <c r="G41" s="93">
        <v>41</v>
      </c>
      <c r="H41" s="46">
        <v>80</v>
      </c>
      <c r="J41" s="86" t="s">
        <v>70</v>
      </c>
      <c r="K41" s="87">
        <f>K42+K45</f>
        <v>18</v>
      </c>
      <c r="L41" s="88">
        <f>L42+L45</f>
        <v>21</v>
      </c>
      <c r="M41" s="89">
        <f>K41+L41</f>
        <v>39</v>
      </c>
      <c r="N41" s="87">
        <f>N42+N45</f>
        <v>20</v>
      </c>
      <c r="O41" s="88">
        <f>O42+O45</f>
        <v>21</v>
      </c>
      <c r="P41" s="89">
        <f>N41+O41</f>
        <v>41</v>
      </c>
      <c r="Q41" s="90">
        <f t="shared" si="0"/>
        <v>80</v>
      </c>
      <c r="S41" s="86" t="s">
        <v>70</v>
      </c>
      <c r="T41" s="87">
        <f>T42+T45</f>
        <v>18</v>
      </c>
      <c r="U41" s="88">
        <f>U42+U45</f>
        <v>20</v>
      </c>
      <c r="V41" s="89">
        <f>T41+U41</f>
        <v>38</v>
      </c>
      <c r="W41" s="87">
        <f>W42+W45</f>
        <v>20</v>
      </c>
      <c r="X41" s="88">
        <f>X42+X45</f>
        <v>18</v>
      </c>
      <c r="Y41" s="89">
        <f>W41+X41</f>
        <v>38</v>
      </c>
      <c r="Z41" s="90">
        <f t="shared" si="1"/>
        <v>76</v>
      </c>
      <c r="AB41" s="86" t="s">
        <v>70</v>
      </c>
      <c r="AC41" s="87">
        <f>AC42+AC45</f>
        <v>0</v>
      </c>
      <c r="AD41" s="88">
        <f>AD42+AD45</f>
        <v>-1</v>
      </c>
      <c r="AE41" s="89">
        <f>AC41+AD41</f>
        <v>-1</v>
      </c>
      <c r="AF41" s="87">
        <f>AF42+AF45</f>
        <v>0</v>
      </c>
      <c r="AG41" s="88">
        <f>AG42+AG45</f>
        <v>-3</v>
      </c>
      <c r="AH41" s="89">
        <f>AF41+AG41</f>
        <v>-3</v>
      </c>
      <c r="AI41" s="90">
        <f t="shared" si="2"/>
        <v>-4</v>
      </c>
    </row>
    <row r="42" spans="1:35" x14ac:dyDescent="0.2">
      <c r="A42" s="47" t="s">
        <v>74</v>
      </c>
      <c r="B42" s="46">
        <v>9</v>
      </c>
      <c r="C42" s="46">
        <v>10</v>
      </c>
      <c r="D42" s="91">
        <v>19</v>
      </c>
      <c r="E42" s="92">
        <v>10</v>
      </c>
      <c r="F42" s="92">
        <v>12</v>
      </c>
      <c r="G42" s="93">
        <v>22</v>
      </c>
      <c r="H42" s="46">
        <v>41</v>
      </c>
      <c r="J42" s="94" t="s">
        <v>74</v>
      </c>
      <c r="K42" s="95">
        <f t="shared" ref="K42:P42" si="33">K43+K44</f>
        <v>9</v>
      </c>
      <c r="L42" s="96">
        <f t="shared" si="33"/>
        <v>10</v>
      </c>
      <c r="M42" s="97">
        <f t="shared" si="33"/>
        <v>19</v>
      </c>
      <c r="N42" s="95">
        <f t="shared" si="33"/>
        <v>10</v>
      </c>
      <c r="O42" s="96">
        <f t="shared" si="33"/>
        <v>12</v>
      </c>
      <c r="P42" s="97">
        <f t="shared" si="33"/>
        <v>22</v>
      </c>
      <c r="Q42" s="99">
        <f t="shared" si="0"/>
        <v>41</v>
      </c>
      <c r="S42" s="94" t="s">
        <v>74</v>
      </c>
      <c r="T42" s="95">
        <f t="shared" ref="T42:Y42" si="34">T43+T44</f>
        <v>9</v>
      </c>
      <c r="U42" s="96">
        <f t="shared" si="34"/>
        <v>10</v>
      </c>
      <c r="V42" s="97">
        <f t="shared" si="34"/>
        <v>19</v>
      </c>
      <c r="W42" s="95">
        <f t="shared" si="34"/>
        <v>10</v>
      </c>
      <c r="X42" s="96">
        <f t="shared" si="34"/>
        <v>9</v>
      </c>
      <c r="Y42" s="97">
        <f t="shared" si="34"/>
        <v>19</v>
      </c>
      <c r="Z42" s="99">
        <f t="shared" si="1"/>
        <v>38</v>
      </c>
      <c r="AB42" s="94" t="s">
        <v>74</v>
      </c>
      <c r="AC42" s="95">
        <f t="shared" ref="AC42:AH42" si="35">AC43+AC44</f>
        <v>0</v>
      </c>
      <c r="AD42" s="96">
        <f t="shared" si="35"/>
        <v>0</v>
      </c>
      <c r="AE42" s="97">
        <f t="shared" si="35"/>
        <v>0</v>
      </c>
      <c r="AF42" s="95">
        <f t="shared" si="35"/>
        <v>0</v>
      </c>
      <c r="AG42" s="96">
        <f t="shared" si="35"/>
        <v>-3</v>
      </c>
      <c r="AH42" s="97">
        <f t="shared" si="35"/>
        <v>-3</v>
      </c>
      <c r="AI42" s="99">
        <f t="shared" si="2"/>
        <v>-3</v>
      </c>
    </row>
    <row r="43" spans="1:35" x14ac:dyDescent="0.2">
      <c r="A43" s="53">
        <v>1</v>
      </c>
      <c r="B43" s="46">
        <v>5</v>
      </c>
      <c r="C43" s="46">
        <v>5</v>
      </c>
      <c r="D43" s="91">
        <v>10</v>
      </c>
      <c r="E43" s="92">
        <v>5</v>
      </c>
      <c r="F43" s="92">
        <v>6</v>
      </c>
      <c r="G43" s="93">
        <v>11</v>
      </c>
      <c r="H43" s="46">
        <v>21</v>
      </c>
      <c r="J43" s="100">
        <v>1</v>
      </c>
      <c r="K43" s="101">
        <v>5</v>
      </c>
      <c r="L43" s="102">
        <v>5</v>
      </c>
      <c r="M43" s="103">
        <f>K43+L43</f>
        <v>10</v>
      </c>
      <c r="N43" s="104">
        <v>5</v>
      </c>
      <c r="O43" s="102">
        <v>6</v>
      </c>
      <c r="P43" s="103">
        <f>N43+O43</f>
        <v>11</v>
      </c>
      <c r="Q43" s="106">
        <f t="shared" si="0"/>
        <v>21</v>
      </c>
      <c r="S43" s="100">
        <v>1</v>
      </c>
      <c r="T43" s="107">
        <v>5</v>
      </c>
      <c r="U43" s="108">
        <v>5</v>
      </c>
      <c r="V43" s="103">
        <f>T43+U43</f>
        <v>10</v>
      </c>
      <c r="W43" s="153">
        <v>5</v>
      </c>
      <c r="X43" s="108">
        <v>5</v>
      </c>
      <c r="Y43" s="103">
        <f>W43+X43</f>
        <v>10</v>
      </c>
      <c r="Z43" s="106">
        <f t="shared" si="1"/>
        <v>20</v>
      </c>
      <c r="AB43" s="100">
        <v>1</v>
      </c>
      <c r="AC43" s="107">
        <f>T43-K43</f>
        <v>0</v>
      </c>
      <c r="AD43" s="108">
        <f>U43-L43</f>
        <v>0</v>
      </c>
      <c r="AE43" s="103">
        <f>AC43+AD43</f>
        <v>0</v>
      </c>
      <c r="AF43" s="107">
        <f>W43-N43</f>
        <v>0</v>
      </c>
      <c r="AG43" s="108">
        <f>X43-O43</f>
        <v>-1</v>
      </c>
      <c r="AH43" s="103">
        <f>AF43+AG43</f>
        <v>-1</v>
      </c>
      <c r="AI43" s="106">
        <f t="shared" si="2"/>
        <v>-1</v>
      </c>
    </row>
    <row r="44" spans="1:35" x14ac:dyDescent="0.2">
      <c r="A44" s="53">
        <v>50</v>
      </c>
      <c r="B44" s="46">
        <v>4</v>
      </c>
      <c r="C44" s="46">
        <v>5</v>
      </c>
      <c r="D44" s="91">
        <v>9</v>
      </c>
      <c r="E44" s="92">
        <v>5</v>
      </c>
      <c r="F44" s="92">
        <v>6</v>
      </c>
      <c r="G44" s="93">
        <v>11</v>
      </c>
      <c r="H44" s="46">
        <v>20</v>
      </c>
      <c r="J44" s="100">
        <v>50</v>
      </c>
      <c r="K44" s="101">
        <v>4</v>
      </c>
      <c r="L44" s="102">
        <v>5</v>
      </c>
      <c r="M44" s="103">
        <f>K44+L44</f>
        <v>9</v>
      </c>
      <c r="N44" s="101">
        <v>5</v>
      </c>
      <c r="O44" s="102">
        <v>6</v>
      </c>
      <c r="P44" s="103">
        <f>N44+O44</f>
        <v>11</v>
      </c>
      <c r="Q44" s="106">
        <f t="shared" si="0"/>
        <v>20</v>
      </c>
      <c r="S44" s="100">
        <v>50</v>
      </c>
      <c r="T44" s="155">
        <v>4</v>
      </c>
      <c r="U44" s="108">
        <v>5</v>
      </c>
      <c r="V44" s="103">
        <f>T44+U44</f>
        <v>9</v>
      </c>
      <c r="W44" s="107">
        <v>5</v>
      </c>
      <c r="X44" s="108">
        <v>4</v>
      </c>
      <c r="Y44" s="103">
        <f>W44+X44</f>
        <v>9</v>
      </c>
      <c r="Z44" s="106">
        <f t="shared" si="1"/>
        <v>18</v>
      </c>
      <c r="AB44" s="100">
        <v>50</v>
      </c>
      <c r="AC44" s="155">
        <f>T44-K44</f>
        <v>0</v>
      </c>
      <c r="AD44" s="108">
        <f>U44-L44</f>
        <v>0</v>
      </c>
      <c r="AE44" s="103">
        <f>AC44+AD44</f>
        <v>0</v>
      </c>
      <c r="AF44" s="107">
        <f>W44-N44</f>
        <v>0</v>
      </c>
      <c r="AG44" s="108">
        <f>X44-O44</f>
        <v>-2</v>
      </c>
      <c r="AH44" s="103">
        <f>AF44+AG44</f>
        <v>-2</v>
      </c>
      <c r="AI44" s="106">
        <f t="shared" si="2"/>
        <v>-2</v>
      </c>
    </row>
    <row r="45" spans="1:35" x14ac:dyDescent="0.2">
      <c r="A45" s="47" t="s">
        <v>45</v>
      </c>
      <c r="B45" s="46">
        <v>9</v>
      </c>
      <c r="C45" s="46">
        <v>11</v>
      </c>
      <c r="D45" s="91">
        <v>20</v>
      </c>
      <c r="E45" s="92">
        <v>10</v>
      </c>
      <c r="F45" s="92">
        <v>9</v>
      </c>
      <c r="G45" s="93">
        <v>19</v>
      </c>
      <c r="H45" s="46">
        <v>39</v>
      </c>
      <c r="J45" s="94" t="s">
        <v>45</v>
      </c>
      <c r="K45" s="95">
        <f t="shared" ref="K45:P45" si="36">K46+K47</f>
        <v>9</v>
      </c>
      <c r="L45" s="96">
        <f t="shared" si="36"/>
        <v>11</v>
      </c>
      <c r="M45" s="97">
        <f t="shared" si="36"/>
        <v>20</v>
      </c>
      <c r="N45" s="95">
        <f t="shared" si="36"/>
        <v>10</v>
      </c>
      <c r="O45" s="96">
        <f t="shared" si="36"/>
        <v>9</v>
      </c>
      <c r="P45" s="97">
        <f t="shared" si="36"/>
        <v>19</v>
      </c>
      <c r="Q45" s="99">
        <f t="shared" si="0"/>
        <v>39</v>
      </c>
      <c r="S45" s="94" t="s">
        <v>45</v>
      </c>
      <c r="T45" s="95">
        <f t="shared" ref="T45:Y45" si="37">T46+T47</f>
        <v>9</v>
      </c>
      <c r="U45" s="96">
        <f t="shared" si="37"/>
        <v>10</v>
      </c>
      <c r="V45" s="97">
        <f t="shared" si="37"/>
        <v>19</v>
      </c>
      <c r="W45" s="95">
        <f t="shared" si="37"/>
        <v>10</v>
      </c>
      <c r="X45" s="96">
        <f t="shared" si="37"/>
        <v>9</v>
      </c>
      <c r="Y45" s="97">
        <f t="shared" si="37"/>
        <v>19</v>
      </c>
      <c r="Z45" s="99">
        <f t="shared" si="1"/>
        <v>38</v>
      </c>
      <c r="AB45" s="94" t="s">
        <v>45</v>
      </c>
      <c r="AC45" s="95">
        <f t="shared" ref="AC45:AH45" si="38">AC46+AC47</f>
        <v>0</v>
      </c>
      <c r="AD45" s="96">
        <f t="shared" si="38"/>
        <v>-1</v>
      </c>
      <c r="AE45" s="97">
        <f t="shared" si="38"/>
        <v>-1</v>
      </c>
      <c r="AF45" s="95">
        <f t="shared" si="38"/>
        <v>0</v>
      </c>
      <c r="AG45" s="96">
        <f t="shared" si="38"/>
        <v>0</v>
      </c>
      <c r="AH45" s="97">
        <f t="shared" si="38"/>
        <v>0</v>
      </c>
      <c r="AI45" s="99">
        <f t="shared" si="2"/>
        <v>-1</v>
      </c>
    </row>
    <row r="46" spans="1:35" x14ac:dyDescent="0.2">
      <c r="A46" s="53">
        <v>1</v>
      </c>
      <c r="B46" s="46">
        <v>5</v>
      </c>
      <c r="C46" s="46">
        <v>6</v>
      </c>
      <c r="D46" s="91">
        <v>11</v>
      </c>
      <c r="E46" s="92">
        <v>5</v>
      </c>
      <c r="F46" s="92">
        <v>4</v>
      </c>
      <c r="G46" s="93">
        <v>9</v>
      </c>
      <c r="H46" s="46">
        <v>20</v>
      </c>
      <c r="J46" s="100">
        <v>1</v>
      </c>
      <c r="K46" s="101">
        <v>5</v>
      </c>
      <c r="L46" s="102">
        <v>6</v>
      </c>
      <c r="M46" s="103">
        <f>K46+L46</f>
        <v>11</v>
      </c>
      <c r="N46" s="104">
        <v>5</v>
      </c>
      <c r="O46" s="102">
        <v>4</v>
      </c>
      <c r="P46" s="103">
        <f>N46+O46</f>
        <v>9</v>
      </c>
      <c r="Q46" s="106">
        <f t="shared" si="0"/>
        <v>20</v>
      </c>
      <c r="S46" s="100">
        <v>1</v>
      </c>
      <c r="T46" s="107">
        <v>5</v>
      </c>
      <c r="U46" s="102">
        <v>5</v>
      </c>
      <c r="V46" s="103">
        <f>T46+U46</f>
        <v>10</v>
      </c>
      <c r="W46" s="153">
        <v>5</v>
      </c>
      <c r="X46" s="132">
        <v>4</v>
      </c>
      <c r="Y46" s="103">
        <f>W46+X46</f>
        <v>9</v>
      </c>
      <c r="Z46" s="106">
        <f t="shared" si="1"/>
        <v>19</v>
      </c>
      <c r="AB46" s="100">
        <v>1</v>
      </c>
      <c r="AC46" s="107">
        <f>T46-K46</f>
        <v>0</v>
      </c>
      <c r="AD46" s="102">
        <f>U46-L46</f>
        <v>-1</v>
      </c>
      <c r="AE46" s="103">
        <f>AC46+AD46</f>
        <v>-1</v>
      </c>
      <c r="AF46" s="107">
        <f>W46-N46</f>
        <v>0</v>
      </c>
      <c r="AG46" s="132">
        <f>X46-O46</f>
        <v>0</v>
      </c>
      <c r="AH46" s="103">
        <f>AF46+AG46</f>
        <v>0</v>
      </c>
      <c r="AI46" s="106">
        <f t="shared" si="2"/>
        <v>-1</v>
      </c>
    </row>
    <row r="47" spans="1:35" ht="17" thickBot="1" x14ac:dyDescent="0.25">
      <c r="A47" s="53">
        <v>50</v>
      </c>
      <c r="B47" s="46">
        <v>4</v>
      </c>
      <c r="C47" s="46">
        <v>5</v>
      </c>
      <c r="D47" s="91">
        <v>9</v>
      </c>
      <c r="E47" s="92">
        <v>5</v>
      </c>
      <c r="F47" s="92">
        <v>5</v>
      </c>
      <c r="G47" s="93">
        <v>10</v>
      </c>
      <c r="H47" s="46">
        <v>19</v>
      </c>
      <c r="J47" s="110">
        <v>50</v>
      </c>
      <c r="K47" s="111">
        <v>4</v>
      </c>
      <c r="L47" s="112">
        <v>5</v>
      </c>
      <c r="M47" s="113">
        <f>K47+L47</f>
        <v>9</v>
      </c>
      <c r="N47" s="111">
        <v>5</v>
      </c>
      <c r="O47" s="112">
        <v>5</v>
      </c>
      <c r="P47" s="113">
        <f>N47+O47</f>
        <v>10</v>
      </c>
      <c r="Q47" s="114">
        <f t="shared" si="0"/>
        <v>19</v>
      </c>
      <c r="S47" s="110">
        <v>50</v>
      </c>
      <c r="T47" s="154">
        <v>4</v>
      </c>
      <c r="U47" s="116">
        <v>5</v>
      </c>
      <c r="V47" s="113">
        <f>T47+U47</f>
        <v>9</v>
      </c>
      <c r="W47" s="115">
        <v>5</v>
      </c>
      <c r="X47" s="116">
        <v>5</v>
      </c>
      <c r="Y47" s="113">
        <f>W47+X47</f>
        <v>10</v>
      </c>
      <c r="Z47" s="114">
        <f t="shared" si="1"/>
        <v>19</v>
      </c>
      <c r="AB47" s="110">
        <v>50</v>
      </c>
      <c r="AC47" s="154">
        <f>T47-K47</f>
        <v>0</v>
      </c>
      <c r="AD47" s="116">
        <f>U47-L47</f>
        <v>0</v>
      </c>
      <c r="AE47" s="113">
        <f>AC47+AD47</f>
        <v>0</v>
      </c>
      <c r="AF47" s="115">
        <f>W47-N47</f>
        <v>0</v>
      </c>
      <c r="AG47" s="116">
        <f>X47-O47</f>
        <v>0</v>
      </c>
      <c r="AH47" s="112">
        <f>AF47+AG47</f>
        <v>0</v>
      </c>
      <c r="AI47" s="114">
        <f t="shared" si="2"/>
        <v>0</v>
      </c>
    </row>
    <row r="48" spans="1:35" ht="18" thickTop="1" thickBot="1" x14ac:dyDescent="0.25">
      <c r="A48" s="45" t="s">
        <v>365</v>
      </c>
      <c r="B48" s="46">
        <v>121</v>
      </c>
      <c r="C48" s="46">
        <v>117</v>
      </c>
      <c r="D48" s="117">
        <v>238</v>
      </c>
      <c r="E48" s="118">
        <v>113</v>
      </c>
      <c r="F48" s="118">
        <v>121</v>
      </c>
      <c r="G48" s="119">
        <v>234</v>
      </c>
      <c r="H48" s="46">
        <v>472</v>
      </c>
      <c r="J48" s="120" t="s">
        <v>365</v>
      </c>
      <c r="K48" s="121">
        <f>K6+K13+K20+K27+K34+K41</f>
        <v>121</v>
      </c>
      <c r="L48" s="121">
        <f t="shared" ref="L48:P48" si="39">L6+L13+L20+L27+L34+L41</f>
        <v>117</v>
      </c>
      <c r="M48" s="121">
        <f t="shared" si="39"/>
        <v>238</v>
      </c>
      <c r="N48" s="121">
        <f>N6+N13+N20+N27+N34+N41</f>
        <v>113</v>
      </c>
      <c r="O48" s="121">
        <f t="shared" si="39"/>
        <v>121</v>
      </c>
      <c r="P48" s="121">
        <f t="shared" si="39"/>
        <v>234</v>
      </c>
      <c r="Q48" s="121">
        <f>Q6+Q13+Q20+Q27+Q34+Q41</f>
        <v>472</v>
      </c>
      <c r="S48" s="120" t="s">
        <v>365</v>
      </c>
      <c r="T48" s="121">
        <f>T6+T13+T20+T27+T34+T41</f>
        <v>117</v>
      </c>
      <c r="U48" s="121">
        <f t="shared" ref="U48:V48" si="40">U6+U13+U20+U27+U34+U41</f>
        <v>113</v>
      </c>
      <c r="V48" s="121">
        <f t="shared" si="40"/>
        <v>230</v>
      </c>
      <c r="W48" s="121">
        <f>W6+W13+W20+W27+W34+W41</f>
        <v>111</v>
      </c>
      <c r="X48" s="121">
        <f t="shared" ref="X48:Y48" si="41">X6+X13+X20+X27+X34+X41</f>
        <v>115</v>
      </c>
      <c r="Y48" s="121">
        <f t="shared" si="41"/>
        <v>226</v>
      </c>
      <c r="Z48" s="121">
        <f>Z6+Z13+Z20+Z27+Z34+Z41</f>
        <v>456</v>
      </c>
      <c r="AB48" s="120" t="s">
        <v>365</v>
      </c>
      <c r="AC48" s="121">
        <f>AC6+AC13+AC20+AC27+AC34+AC41</f>
        <v>-4</v>
      </c>
      <c r="AD48" s="121">
        <f t="shared" ref="AD48:AE48" si="42">AD6+AD13+AD20+AD27+AD34+AD41</f>
        <v>-4</v>
      </c>
      <c r="AE48" s="121">
        <f t="shared" si="42"/>
        <v>-8</v>
      </c>
      <c r="AF48" s="121">
        <f>AF6+AF13+AF20+AF27+AF34+AF41</f>
        <v>-2</v>
      </c>
      <c r="AG48" s="121">
        <f t="shared" ref="AG48:AH48" si="43">AG6+AG13+AG20+AG27+AG34+AG41</f>
        <v>-6</v>
      </c>
      <c r="AH48" s="121">
        <f t="shared" si="43"/>
        <v>-8</v>
      </c>
      <c r="AI48" s="121">
        <f>AI6+AI13+AI20+AI27+AI34+AI41</f>
        <v>-16</v>
      </c>
    </row>
    <row r="49" spans="2:17" x14ac:dyDescent="0.2">
      <c r="B49"/>
      <c r="C49"/>
      <c r="D49"/>
      <c r="E49"/>
      <c r="F49"/>
      <c r="G49"/>
      <c r="K49"/>
      <c r="L49"/>
      <c r="N49"/>
      <c r="O49"/>
      <c r="Q49"/>
    </row>
    <row r="50" spans="2:17" x14ac:dyDescent="0.2">
      <c r="B50"/>
      <c r="C50"/>
      <c r="D50"/>
      <c r="E50"/>
      <c r="F50"/>
      <c r="G50"/>
      <c r="K50"/>
      <c r="L50"/>
      <c r="N50"/>
      <c r="O50"/>
      <c r="Q50"/>
    </row>
    <row r="51" spans="2:17" x14ac:dyDescent="0.2">
      <c r="B51"/>
      <c r="C51"/>
      <c r="D51"/>
      <c r="E51"/>
      <c r="F51"/>
      <c r="G51"/>
      <c r="K51"/>
      <c r="L51"/>
      <c r="N51"/>
      <c r="O51"/>
      <c r="Q51"/>
    </row>
    <row r="52" spans="2:17" x14ac:dyDescent="0.2">
      <c r="B52"/>
      <c r="C52"/>
      <c r="D52"/>
      <c r="E52"/>
      <c r="F52"/>
      <c r="G52"/>
      <c r="K52"/>
      <c r="L52"/>
      <c r="N52"/>
      <c r="O52"/>
      <c r="Q52"/>
    </row>
    <row r="53" spans="2:17" x14ac:dyDescent="0.2">
      <c r="B53"/>
      <c r="C53"/>
      <c r="D53"/>
      <c r="E53"/>
      <c r="F53"/>
      <c r="G53"/>
      <c r="K53"/>
      <c r="L53"/>
      <c r="N53"/>
      <c r="O53"/>
      <c r="Q53"/>
    </row>
    <row r="54" spans="2:17" x14ac:dyDescent="0.2">
      <c r="B54"/>
      <c r="C54"/>
      <c r="D54"/>
      <c r="E54"/>
      <c r="F54"/>
      <c r="G54"/>
      <c r="K54"/>
      <c r="L54"/>
      <c r="N54"/>
      <c r="O54"/>
      <c r="Q54"/>
    </row>
    <row r="55" spans="2:17" x14ac:dyDescent="0.2">
      <c r="B55"/>
      <c r="C55"/>
      <c r="D55"/>
      <c r="E55"/>
      <c r="F55"/>
      <c r="G55"/>
      <c r="K55"/>
      <c r="L55"/>
      <c r="N55"/>
      <c r="O55"/>
      <c r="Q55"/>
    </row>
    <row r="56" spans="2:17" x14ac:dyDescent="0.2">
      <c r="B56"/>
      <c r="C56"/>
      <c r="D56"/>
      <c r="E56"/>
      <c r="F56"/>
      <c r="G56"/>
      <c r="K56"/>
      <c r="L56"/>
      <c r="N56"/>
      <c r="O56"/>
      <c r="Q56"/>
    </row>
    <row r="57" spans="2:17" x14ac:dyDescent="0.2">
      <c r="B57"/>
      <c r="C57"/>
      <c r="D57"/>
      <c r="E57"/>
      <c r="F57"/>
      <c r="G57"/>
      <c r="K57"/>
      <c r="L57"/>
      <c r="N57"/>
      <c r="O57"/>
      <c r="Q57"/>
    </row>
    <row r="58" spans="2:17" x14ac:dyDescent="0.2">
      <c r="B58"/>
      <c r="C58"/>
      <c r="D58"/>
      <c r="E58"/>
      <c r="F58"/>
      <c r="G58"/>
      <c r="K58"/>
      <c r="L58"/>
      <c r="N58"/>
      <c r="O58"/>
      <c r="Q58"/>
    </row>
    <row r="59" spans="2:17" x14ac:dyDescent="0.2">
      <c r="B59"/>
      <c r="C59"/>
      <c r="D59"/>
      <c r="E59"/>
      <c r="F59"/>
      <c r="G59"/>
      <c r="K59"/>
      <c r="L59"/>
      <c r="N59"/>
      <c r="O59"/>
      <c r="Q59"/>
    </row>
    <row r="60" spans="2:17" x14ac:dyDescent="0.2">
      <c r="B60"/>
      <c r="C60"/>
      <c r="D60"/>
      <c r="E60"/>
      <c r="F60"/>
      <c r="G60"/>
      <c r="K60"/>
      <c r="L60"/>
      <c r="N60"/>
      <c r="O60"/>
      <c r="Q60"/>
    </row>
    <row r="61" spans="2:17" x14ac:dyDescent="0.2">
      <c r="B61"/>
      <c r="C61"/>
      <c r="D61"/>
      <c r="E61"/>
      <c r="F61"/>
      <c r="G61"/>
      <c r="K61"/>
      <c r="L61"/>
      <c r="N61"/>
      <c r="O61"/>
      <c r="Q61"/>
    </row>
    <row r="62" spans="2:17" x14ac:dyDescent="0.2">
      <c r="B62"/>
      <c r="C62"/>
      <c r="D62"/>
      <c r="E62"/>
      <c r="F62"/>
      <c r="G62"/>
      <c r="K62"/>
      <c r="L62"/>
      <c r="N62"/>
      <c r="O62"/>
      <c r="Q62"/>
    </row>
    <row r="63" spans="2:17" x14ac:dyDescent="0.2">
      <c r="B63"/>
      <c r="C63"/>
      <c r="D63"/>
      <c r="E63"/>
      <c r="F63"/>
      <c r="G63"/>
      <c r="K63"/>
      <c r="L63"/>
      <c r="N63"/>
      <c r="O63"/>
      <c r="Q63"/>
    </row>
    <row r="64" spans="2:17" x14ac:dyDescent="0.2">
      <c r="B64"/>
      <c r="C64"/>
      <c r="D64"/>
      <c r="E64"/>
      <c r="F64"/>
      <c r="G64"/>
      <c r="K64"/>
      <c r="L64"/>
      <c r="N64"/>
      <c r="O64"/>
      <c r="Q64"/>
    </row>
    <row r="65" spans="2:17" x14ac:dyDescent="0.2">
      <c r="B65"/>
      <c r="C65"/>
      <c r="D65"/>
      <c r="E65"/>
      <c r="F65"/>
      <c r="G65"/>
      <c r="K65"/>
      <c r="L65"/>
      <c r="N65"/>
      <c r="O65"/>
      <c r="Q65"/>
    </row>
    <row r="66" spans="2:17" x14ac:dyDescent="0.2">
      <c r="B66"/>
      <c r="C66"/>
      <c r="D66"/>
      <c r="E66"/>
      <c r="F66"/>
      <c r="G66"/>
      <c r="K66"/>
      <c r="L66"/>
      <c r="N66"/>
      <c r="O66"/>
      <c r="Q66"/>
    </row>
    <row r="67" spans="2:17" x14ac:dyDescent="0.2">
      <c r="B67"/>
      <c r="C67"/>
      <c r="D67"/>
      <c r="E67"/>
      <c r="F67"/>
      <c r="G67"/>
      <c r="K67"/>
      <c r="L67"/>
      <c r="N67"/>
      <c r="O67"/>
      <c r="Q67"/>
    </row>
    <row r="68" spans="2:17" x14ac:dyDescent="0.2">
      <c r="B68"/>
      <c r="C68"/>
      <c r="D68"/>
      <c r="E68"/>
      <c r="F68"/>
      <c r="G68"/>
      <c r="K68"/>
      <c r="L68"/>
      <c r="N68"/>
      <c r="O68"/>
      <c r="Q68"/>
    </row>
    <row r="69" spans="2:17" x14ac:dyDescent="0.2">
      <c r="B69"/>
      <c r="C69"/>
      <c r="D69"/>
      <c r="E69"/>
      <c r="F69"/>
      <c r="G69"/>
      <c r="K69"/>
      <c r="L69"/>
      <c r="N69"/>
      <c r="O69"/>
      <c r="Q69"/>
    </row>
    <row r="70" spans="2:17" x14ac:dyDescent="0.2">
      <c r="B70"/>
      <c r="C70"/>
      <c r="D70"/>
      <c r="E70"/>
      <c r="F70"/>
      <c r="G70"/>
      <c r="K70"/>
      <c r="L70"/>
      <c r="N70"/>
      <c r="O70"/>
      <c r="Q70"/>
    </row>
    <row r="71" spans="2:17" x14ac:dyDescent="0.2">
      <c r="B71"/>
      <c r="C71"/>
      <c r="D71"/>
      <c r="E71"/>
      <c r="F71"/>
      <c r="G71"/>
      <c r="K71"/>
      <c r="L71"/>
      <c r="N71"/>
      <c r="O71"/>
      <c r="Q71"/>
    </row>
    <row r="72" spans="2:17" x14ac:dyDescent="0.2">
      <c r="B72"/>
      <c r="C72"/>
      <c r="D72"/>
      <c r="E72"/>
      <c r="F72"/>
      <c r="G72"/>
      <c r="K72"/>
      <c r="L72"/>
      <c r="N72"/>
      <c r="O72"/>
      <c r="Q72"/>
    </row>
    <row r="73" spans="2:17" x14ac:dyDescent="0.2">
      <c r="B73"/>
      <c r="C73"/>
      <c r="D73"/>
      <c r="E73"/>
      <c r="F73"/>
      <c r="G73"/>
      <c r="K73"/>
      <c r="L73"/>
      <c r="N73"/>
      <c r="O73"/>
      <c r="Q73"/>
    </row>
    <row r="74" spans="2:17" x14ac:dyDescent="0.2">
      <c r="B74"/>
      <c r="C74"/>
      <c r="D74"/>
      <c r="E74"/>
      <c r="F74"/>
      <c r="G74"/>
      <c r="K74"/>
      <c r="L74"/>
      <c r="N74"/>
      <c r="O74"/>
      <c r="Q74"/>
    </row>
    <row r="75" spans="2:17" x14ac:dyDescent="0.2">
      <c r="B75"/>
      <c r="C75"/>
      <c r="D75"/>
      <c r="E75"/>
      <c r="F75"/>
      <c r="G75"/>
      <c r="K75"/>
      <c r="L75"/>
      <c r="N75"/>
      <c r="O75"/>
      <c r="Q75"/>
    </row>
    <row r="76" spans="2:17" x14ac:dyDescent="0.2">
      <c r="B76"/>
      <c r="C76"/>
      <c r="D76"/>
      <c r="E76"/>
      <c r="F76"/>
      <c r="G76"/>
      <c r="K76"/>
      <c r="L76"/>
      <c r="N76"/>
      <c r="O76"/>
      <c r="Q76"/>
    </row>
    <row r="77" spans="2:17" x14ac:dyDescent="0.2">
      <c r="B77"/>
      <c r="C77"/>
      <c r="D77"/>
      <c r="E77"/>
      <c r="F77"/>
      <c r="G77"/>
      <c r="K77"/>
      <c r="L77"/>
      <c r="N77"/>
      <c r="O77"/>
      <c r="Q77"/>
    </row>
    <row r="78" spans="2:17" x14ac:dyDescent="0.2">
      <c r="B78"/>
      <c r="C78"/>
      <c r="D78"/>
      <c r="E78"/>
      <c r="F78"/>
      <c r="G78"/>
      <c r="K78"/>
      <c r="L78"/>
      <c r="N78"/>
      <c r="O78"/>
      <c r="Q78"/>
    </row>
    <row r="79" spans="2:17" x14ac:dyDescent="0.2">
      <c r="B79"/>
      <c r="C79"/>
      <c r="D79"/>
      <c r="E79"/>
      <c r="F79"/>
      <c r="G79"/>
      <c r="K79"/>
      <c r="L79"/>
      <c r="N79"/>
      <c r="O79"/>
      <c r="Q79"/>
    </row>
    <row r="80" spans="2:17" x14ac:dyDescent="0.2">
      <c r="B80"/>
      <c r="C80"/>
      <c r="D80"/>
      <c r="E80"/>
      <c r="F80"/>
      <c r="G80"/>
      <c r="K80"/>
      <c r="L80"/>
      <c r="N80"/>
      <c r="O80"/>
      <c r="Q80"/>
    </row>
    <row r="81" spans="2:17" x14ac:dyDescent="0.2">
      <c r="B81"/>
      <c r="C81"/>
      <c r="D81"/>
      <c r="E81"/>
      <c r="F81"/>
      <c r="G81"/>
      <c r="K81"/>
      <c r="L81"/>
      <c r="N81"/>
      <c r="O81"/>
      <c r="Q81"/>
    </row>
    <row r="82" spans="2:17" x14ac:dyDescent="0.2">
      <c r="B82"/>
      <c r="C82"/>
      <c r="D82"/>
      <c r="E82"/>
      <c r="F82"/>
      <c r="G82"/>
      <c r="K82"/>
      <c r="L82"/>
      <c r="N82"/>
      <c r="O82"/>
      <c r="Q82"/>
    </row>
    <row r="83" spans="2:17" x14ac:dyDescent="0.2">
      <c r="B83"/>
      <c r="C83"/>
      <c r="D83"/>
      <c r="E83"/>
      <c r="F83"/>
      <c r="G83"/>
      <c r="K83"/>
      <c r="L83"/>
      <c r="N83"/>
      <c r="O83"/>
      <c r="Q83"/>
    </row>
    <row r="84" spans="2:17" x14ac:dyDescent="0.2">
      <c r="B84"/>
      <c r="C84"/>
      <c r="D84"/>
      <c r="E84"/>
      <c r="F84"/>
      <c r="G84"/>
      <c r="K84"/>
      <c r="L84"/>
      <c r="N84"/>
      <c r="O84"/>
      <c r="Q84"/>
    </row>
    <row r="85" spans="2:17" x14ac:dyDescent="0.2">
      <c r="B85"/>
      <c r="C85"/>
      <c r="D85"/>
      <c r="E85"/>
      <c r="F85"/>
      <c r="G85"/>
      <c r="K85"/>
      <c r="L85"/>
      <c r="N85"/>
      <c r="O85"/>
      <c r="Q85"/>
    </row>
    <row r="86" spans="2:17" x14ac:dyDescent="0.2">
      <c r="B86"/>
      <c r="C86"/>
      <c r="D86"/>
      <c r="E86"/>
      <c r="F86"/>
      <c r="G86"/>
      <c r="K86"/>
      <c r="L86"/>
      <c r="N86"/>
      <c r="O86"/>
      <c r="Q86"/>
    </row>
    <row r="87" spans="2:17" x14ac:dyDescent="0.2">
      <c r="B87"/>
      <c r="C87"/>
      <c r="D87"/>
      <c r="E87"/>
      <c r="F87"/>
      <c r="G87"/>
      <c r="K87"/>
      <c r="L87"/>
      <c r="N87"/>
      <c r="O87"/>
      <c r="Q87"/>
    </row>
    <row r="88" spans="2:17" x14ac:dyDescent="0.2">
      <c r="B88"/>
      <c r="C88"/>
      <c r="D88"/>
      <c r="E88"/>
      <c r="F88"/>
      <c r="G88"/>
      <c r="K88"/>
      <c r="L88"/>
      <c r="N88"/>
      <c r="O88"/>
      <c r="Q88"/>
    </row>
    <row r="89" spans="2:17" x14ac:dyDescent="0.2">
      <c r="B89"/>
      <c r="C89"/>
      <c r="D89"/>
      <c r="E89"/>
      <c r="F89"/>
      <c r="G89"/>
      <c r="K89"/>
      <c r="L89"/>
      <c r="N89"/>
      <c r="O89"/>
      <c r="Q89"/>
    </row>
    <row r="90" spans="2:17" x14ac:dyDescent="0.2">
      <c r="B90"/>
      <c r="C90"/>
      <c r="D90"/>
      <c r="E90"/>
      <c r="F90"/>
      <c r="G90"/>
      <c r="K90"/>
      <c r="L90"/>
      <c r="N90"/>
      <c r="O90"/>
      <c r="Q90"/>
    </row>
    <row r="91" spans="2:17" x14ac:dyDescent="0.2">
      <c r="B91"/>
      <c r="C91"/>
      <c r="D91"/>
      <c r="E91"/>
      <c r="F91"/>
      <c r="G91"/>
      <c r="K91"/>
      <c r="L91"/>
      <c r="N91"/>
      <c r="O91"/>
      <c r="Q91"/>
    </row>
    <row r="92" spans="2:17" x14ac:dyDescent="0.2">
      <c r="B92"/>
      <c r="C92"/>
      <c r="D92"/>
      <c r="E92"/>
      <c r="F92"/>
      <c r="G92"/>
      <c r="K92"/>
      <c r="L92"/>
      <c r="N92"/>
      <c r="O92"/>
      <c r="Q92"/>
    </row>
    <row r="93" spans="2:17" x14ac:dyDescent="0.2">
      <c r="B93"/>
      <c r="C93"/>
      <c r="D93"/>
      <c r="E93"/>
      <c r="F93"/>
      <c r="G93"/>
      <c r="K93"/>
      <c r="L93"/>
      <c r="N93"/>
      <c r="O93"/>
      <c r="Q93"/>
    </row>
    <row r="94" spans="2:17" x14ac:dyDescent="0.2">
      <c r="B94"/>
      <c r="C94"/>
      <c r="D94"/>
      <c r="E94"/>
      <c r="F94"/>
      <c r="G94"/>
      <c r="K94"/>
      <c r="L94"/>
      <c r="N94"/>
      <c r="O94"/>
      <c r="Q94"/>
    </row>
    <row r="95" spans="2:17" x14ac:dyDescent="0.2">
      <c r="B95"/>
      <c r="C95"/>
      <c r="D95"/>
      <c r="E95"/>
      <c r="F95"/>
      <c r="G95"/>
      <c r="K95"/>
      <c r="L95"/>
      <c r="N95"/>
      <c r="O95"/>
      <c r="Q95"/>
    </row>
    <row r="96" spans="2:17" x14ac:dyDescent="0.2">
      <c r="B96"/>
      <c r="C96"/>
      <c r="D96"/>
      <c r="E96"/>
      <c r="F96"/>
      <c r="G96"/>
      <c r="K96"/>
      <c r="L96"/>
      <c r="N96"/>
      <c r="O96"/>
      <c r="Q96"/>
    </row>
    <row r="97" spans="2:17" x14ac:dyDescent="0.2">
      <c r="B97"/>
      <c r="C97"/>
      <c r="D97"/>
      <c r="E97"/>
      <c r="F97"/>
      <c r="G97"/>
      <c r="K97"/>
      <c r="L97"/>
      <c r="N97"/>
      <c r="O97"/>
      <c r="Q97"/>
    </row>
    <row r="98" spans="2:17" x14ac:dyDescent="0.2">
      <c r="B98"/>
      <c r="C98"/>
      <c r="D98"/>
      <c r="E98"/>
      <c r="F98"/>
      <c r="G98"/>
      <c r="K98"/>
      <c r="L98"/>
      <c r="N98"/>
      <c r="O98"/>
      <c r="Q98"/>
    </row>
    <row r="99" spans="2:17" x14ac:dyDescent="0.2">
      <c r="B99"/>
      <c r="C99"/>
      <c r="D99"/>
      <c r="E99"/>
      <c r="F99"/>
      <c r="G99"/>
      <c r="K99"/>
      <c r="L99"/>
      <c r="N99"/>
      <c r="O99"/>
      <c r="Q99"/>
    </row>
    <row r="100" spans="2:17" x14ac:dyDescent="0.2">
      <c r="B100"/>
      <c r="C100"/>
      <c r="D100"/>
      <c r="E100"/>
      <c r="F100"/>
      <c r="G100"/>
      <c r="K100"/>
      <c r="L100"/>
      <c r="N100"/>
      <c r="O100"/>
      <c r="Q100"/>
    </row>
    <row r="101" spans="2:17" x14ac:dyDescent="0.2">
      <c r="B101"/>
      <c r="C101"/>
      <c r="D101"/>
      <c r="E101"/>
      <c r="F101"/>
      <c r="G101"/>
      <c r="K101"/>
      <c r="L101"/>
      <c r="N101"/>
      <c r="O101"/>
      <c r="Q101"/>
    </row>
    <row r="102" spans="2:17" x14ac:dyDescent="0.2">
      <c r="B102"/>
      <c r="C102"/>
      <c r="D102"/>
      <c r="E102"/>
      <c r="F102"/>
      <c r="G102"/>
      <c r="K102"/>
      <c r="L102"/>
      <c r="N102"/>
      <c r="O102"/>
      <c r="Q102"/>
    </row>
    <row r="103" spans="2:17" x14ac:dyDescent="0.2">
      <c r="B103"/>
      <c r="C103"/>
      <c r="D103"/>
      <c r="E103"/>
      <c r="F103"/>
      <c r="G103"/>
      <c r="K103"/>
      <c r="L103"/>
      <c r="N103"/>
      <c r="O103"/>
      <c r="Q103"/>
    </row>
    <row r="104" spans="2:17" x14ac:dyDescent="0.2">
      <c r="B104"/>
      <c r="C104"/>
      <c r="D104"/>
      <c r="E104"/>
      <c r="F104"/>
      <c r="G104"/>
      <c r="K104"/>
      <c r="L104"/>
      <c r="N104"/>
      <c r="O104"/>
      <c r="Q104"/>
    </row>
    <row r="105" spans="2:17" x14ac:dyDescent="0.2">
      <c r="B105"/>
      <c r="C105"/>
      <c r="D105"/>
      <c r="E105"/>
      <c r="F105"/>
      <c r="G105"/>
      <c r="K105"/>
      <c r="L105"/>
      <c r="N105"/>
      <c r="O105"/>
      <c r="Q105"/>
    </row>
    <row r="106" spans="2:17" x14ac:dyDescent="0.2">
      <c r="B106"/>
      <c r="C106"/>
      <c r="D106"/>
      <c r="E106"/>
      <c r="F106"/>
      <c r="G106"/>
      <c r="K106"/>
      <c r="L106"/>
      <c r="N106"/>
      <c r="O106"/>
      <c r="Q106"/>
    </row>
    <row r="107" spans="2:17" x14ac:dyDescent="0.2">
      <c r="B107"/>
      <c r="C107"/>
      <c r="D107"/>
      <c r="E107"/>
      <c r="F107"/>
      <c r="G107"/>
      <c r="K107"/>
      <c r="L107"/>
      <c r="N107"/>
      <c r="O107"/>
      <c r="Q107"/>
    </row>
    <row r="108" spans="2:17" x14ac:dyDescent="0.2">
      <c r="B108"/>
      <c r="C108"/>
      <c r="D108"/>
      <c r="E108"/>
      <c r="F108"/>
      <c r="G108"/>
      <c r="K108"/>
      <c r="L108"/>
      <c r="N108"/>
      <c r="O108"/>
      <c r="Q108"/>
    </row>
    <row r="109" spans="2:17" x14ac:dyDescent="0.2">
      <c r="B109"/>
      <c r="C109"/>
      <c r="D109"/>
      <c r="E109"/>
      <c r="F109"/>
      <c r="G109"/>
      <c r="K109"/>
      <c r="L109"/>
      <c r="N109"/>
      <c r="O109"/>
      <c r="Q109"/>
    </row>
    <row r="110" spans="2:17" x14ac:dyDescent="0.2">
      <c r="B110"/>
      <c r="C110"/>
      <c r="D110"/>
      <c r="E110"/>
      <c r="F110"/>
      <c r="G110"/>
      <c r="K110"/>
      <c r="L110"/>
      <c r="N110"/>
      <c r="O110"/>
      <c r="Q110"/>
    </row>
    <row r="111" spans="2:17" x14ac:dyDescent="0.2">
      <c r="B111"/>
      <c r="C111"/>
      <c r="D111"/>
      <c r="E111"/>
      <c r="F111"/>
      <c r="G111"/>
      <c r="K111"/>
      <c r="L111"/>
      <c r="N111"/>
      <c r="O111"/>
      <c r="Q111"/>
    </row>
    <row r="112" spans="2:17" x14ac:dyDescent="0.2">
      <c r="B112"/>
      <c r="C112"/>
      <c r="D112"/>
      <c r="E112"/>
      <c r="F112"/>
      <c r="G112"/>
      <c r="K112"/>
      <c r="L112"/>
      <c r="N112"/>
      <c r="O112"/>
      <c r="Q112"/>
    </row>
    <row r="113" spans="2:17" x14ac:dyDescent="0.2">
      <c r="B113"/>
      <c r="C113"/>
      <c r="D113"/>
      <c r="E113"/>
      <c r="F113"/>
      <c r="G113"/>
      <c r="K113"/>
      <c r="L113"/>
      <c r="N113"/>
      <c r="O113"/>
      <c r="Q113"/>
    </row>
    <row r="114" spans="2:17" x14ac:dyDescent="0.2">
      <c r="B114"/>
      <c r="C114"/>
      <c r="D114"/>
      <c r="E114"/>
      <c r="F114"/>
      <c r="G114"/>
      <c r="K114"/>
      <c r="L114"/>
      <c r="N114"/>
      <c r="O114"/>
      <c r="Q114"/>
    </row>
    <row r="115" spans="2:17" x14ac:dyDescent="0.2">
      <c r="B115"/>
      <c r="C115"/>
      <c r="D115"/>
      <c r="E115"/>
      <c r="F115"/>
      <c r="G115"/>
      <c r="K115"/>
      <c r="L115"/>
      <c r="N115"/>
      <c r="O115"/>
      <c r="Q115"/>
    </row>
    <row r="116" spans="2:17" x14ac:dyDescent="0.2">
      <c r="B116"/>
      <c r="C116"/>
      <c r="D116"/>
      <c r="E116"/>
      <c r="F116"/>
      <c r="G116"/>
      <c r="K116"/>
      <c r="L116"/>
      <c r="N116"/>
      <c r="O116"/>
      <c r="Q116"/>
    </row>
    <row r="117" spans="2:17" x14ac:dyDescent="0.2">
      <c r="B117"/>
      <c r="C117"/>
      <c r="D117"/>
      <c r="E117"/>
      <c r="F117"/>
      <c r="G117"/>
      <c r="K117"/>
      <c r="L117"/>
      <c r="N117"/>
      <c r="O117"/>
      <c r="Q117"/>
    </row>
    <row r="118" spans="2:17" x14ac:dyDescent="0.2">
      <c r="B118"/>
      <c r="C118"/>
      <c r="D118"/>
      <c r="E118"/>
      <c r="F118"/>
      <c r="G118"/>
      <c r="K118"/>
      <c r="L118"/>
      <c r="N118"/>
      <c r="O118"/>
      <c r="Q118"/>
    </row>
    <row r="119" spans="2:17" x14ac:dyDescent="0.2">
      <c r="B119"/>
      <c r="C119"/>
      <c r="D119"/>
      <c r="E119"/>
      <c r="F119"/>
      <c r="G119"/>
      <c r="K119"/>
      <c r="L119"/>
      <c r="N119"/>
      <c r="O119"/>
      <c r="Q119"/>
    </row>
    <row r="120" spans="2:17" x14ac:dyDescent="0.2">
      <c r="B120"/>
      <c r="C120"/>
      <c r="D120"/>
      <c r="E120"/>
      <c r="F120"/>
      <c r="G120"/>
      <c r="K120"/>
      <c r="L120"/>
      <c r="N120"/>
      <c r="O120"/>
      <c r="Q120"/>
    </row>
    <row r="121" spans="2:17" x14ac:dyDescent="0.2">
      <c r="B121"/>
      <c r="C121"/>
      <c r="D121"/>
      <c r="E121"/>
      <c r="F121"/>
      <c r="G121"/>
      <c r="K121"/>
      <c r="L121"/>
      <c r="N121"/>
      <c r="O121"/>
      <c r="Q121"/>
    </row>
    <row r="122" spans="2:17" x14ac:dyDescent="0.2">
      <c r="B122"/>
      <c r="C122"/>
      <c r="D122"/>
      <c r="E122"/>
      <c r="F122"/>
      <c r="G122"/>
      <c r="K122"/>
      <c r="L122"/>
      <c r="N122"/>
      <c r="O122"/>
      <c r="Q122"/>
    </row>
    <row r="123" spans="2:17" x14ac:dyDescent="0.2">
      <c r="B123"/>
      <c r="C123"/>
      <c r="D123"/>
      <c r="E123"/>
      <c r="F123"/>
      <c r="G123"/>
      <c r="K123"/>
      <c r="L123"/>
      <c r="N123"/>
      <c r="O123"/>
      <c r="Q123"/>
    </row>
    <row r="124" spans="2:17" x14ac:dyDescent="0.2">
      <c r="B124"/>
      <c r="C124"/>
      <c r="D124"/>
      <c r="E124"/>
      <c r="F124"/>
      <c r="G124"/>
      <c r="K124"/>
      <c r="L124"/>
      <c r="N124"/>
      <c r="O124"/>
      <c r="Q124"/>
    </row>
    <row r="125" spans="2:17" x14ac:dyDescent="0.2">
      <c r="B125"/>
      <c r="C125"/>
      <c r="D125"/>
      <c r="E125"/>
      <c r="F125"/>
      <c r="G125"/>
      <c r="K125"/>
      <c r="L125"/>
      <c r="N125"/>
      <c r="O125"/>
      <c r="Q125"/>
    </row>
    <row r="126" spans="2:17" x14ac:dyDescent="0.2">
      <c r="B126"/>
      <c r="C126"/>
      <c r="D126"/>
      <c r="E126"/>
      <c r="F126"/>
      <c r="G126"/>
      <c r="K126"/>
      <c r="L126"/>
      <c r="N126"/>
      <c r="O126"/>
      <c r="Q126"/>
    </row>
    <row r="127" spans="2:17" x14ac:dyDescent="0.2">
      <c r="B127"/>
      <c r="C127"/>
      <c r="D127"/>
      <c r="E127"/>
      <c r="F127"/>
      <c r="G127"/>
      <c r="K127"/>
      <c r="L127"/>
      <c r="N127"/>
      <c r="O127"/>
      <c r="Q127"/>
    </row>
    <row r="128" spans="2:17" x14ac:dyDescent="0.2">
      <c r="B128"/>
      <c r="C128"/>
      <c r="D128"/>
      <c r="E128"/>
      <c r="F128"/>
      <c r="G128"/>
      <c r="K128"/>
      <c r="L128"/>
      <c r="N128"/>
      <c r="O128"/>
      <c r="Q128"/>
    </row>
    <row r="129" spans="2:17" x14ac:dyDescent="0.2">
      <c r="B129"/>
      <c r="C129"/>
      <c r="D129"/>
      <c r="E129"/>
      <c r="F129"/>
      <c r="G129"/>
      <c r="K129"/>
      <c r="L129"/>
      <c r="N129"/>
      <c r="O129"/>
      <c r="Q129"/>
    </row>
    <row r="130" spans="2:17" x14ac:dyDescent="0.2">
      <c r="B130"/>
      <c r="C130"/>
      <c r="D130"/>
      <c r="E130"/>
      <c r="F130"/>
      <c r="G130"/>
      <c r="K130"/>
      <c r="L130"/>
      <c r="N130"/>
      <c r="O130"/>
      <c r="Q130"/>
    </row>
    <row r="131" spans="2:17" x14ac:dyDescent="0.2">
      <c r="B131"/>
      <c r="C131"/>
      <c r="D131"/>
      <c r="E131"/>
      <c r="F131"/>
      <c r="G131"/>
      <c r="K131"/>
      <c r="L131"/>
      <c r="N131"/>
      <c r="O131"/>
      <c r="Q131"/>
    </row>
    <row r="132" spans="2:17" x14ac:dyDescent="0.2">
      <c r="B132"/>
      <c r="C132"/>
      <c r="D132"/>
      <c r="E132"/>
      <c r="F132"/>
      <c r="G132"/>
      <c r="K132"/>
      <c r="L132"/>
      <c r="N132"/>
      <c r="O132"/>
      <c r="Q132"/>
    </row>
    <row r="133" spans="2:17" x14ac:dyDescent="0.2">
      <c r="B133"/>
      <c r="C133"/>
      <c r="D133"/>
      <c r="E133"/>
      <c r="F133"/>
      <c r="G133"/>
      <c r="K133"/>
      <c r="L133"/>
      <c r="N133"/>
      <c r="O133"/>
      <c r="Q133"/>
    </row>
    <row r="134" spans="2:17" x14ac:dyDescent="0.2">
      <c r="B134"/>
      <c r="C134"/>
      <c r="D134"/>
      <c r="E134"/>
      <c r="F134"/>
      <c r="G134"/>
      <c r="K134"/>
      <c r="L134"/>
      <c r="N134"/>
      <c r="O134"/>
      <c r="Q134"/>
    </row>
    <row r="135" spans="2:17" x14ac:dyDescent="0.2">
      <c r="B135"/>
      <c r="C135"/>
      <c r="D135"/>
      <c r="E135"/>
      <c r="F135"/>
      <c r="G135"/>
      <c r="K135"/>
      <c r="L135"/>
      <c r="N135"/>
      <c r="O135"/>
      <c r="Q135"/>
    </row>
    <row r="136" spans="2:17" x14ac:dyDescent="0.2">
      <c r="B136"/>
      <c r="C136"/>
      <c r="D136"/>
      <c r="E136"/>
      <c r="F136"/>
      <c r="G136"/>
      <c r="K136"/>
      <c r="L136"/>
      <c r="N136"/>
      <c r="O136"/>
      <c r="Q136"/>
    </row>
    <row r="137" spans="2:17" x14ac:dyDescent="0.2">
      <c r="B137"/>
      <c r="C137"/>
      <c r="D137"/>
      <c r="E137"/>
      <c r="F137"/>
      <c r="G137"/>
      <c r="K137"/>
      <c r="L137"/>
      <c r="N137"/>
      <c r="O137"/>
      <c r="Q137"/>
    </row>
    <row r="138" spans="2:17" x14ac:dyDescent="0.2">
      <c r="B138"/>
      <c r="C138"/>
      <c r="D138"/>
      <c r="E138"/>
      <c r="F138"/>
      <c r="G138"/>
      <c r="K138"/>
      <c r="L138"/>
      <c r="N138"/>
      <c r="O138"/>
      <c r="Q138"/>
    </row>
    <row r="139" spans="2:17" x14ac:dyDescent="0.2">
      <c r="B139"/>
      <c r="C139"/>
      <c r="D139"/>
      <c r="E139"/>
      <c r="F139"/>
      <c r="G139"/>
      <c r="K139"/>
      <c r="L139"/>
      <c r="N139"/>
      <c r="O139"/>
      <c r="Q139"/>
    </row>
    <row r="140" spans="2:17" x14ac:dyDescent="0.2">
      <c r="B140"/>
      <c r="C140"/>
      <c r="D140"/>
      <c r="E140"/>
      <c r="F140"/>
      <c r="G140"/>
      <c r="K140"/>
      <c r="L140"/>
      <c r="N140"/>
      <c r="O140"/>
      <c r="Q140"/>
    </row>
    <row r="141" spans="2:17" x14ac:dyDescent="0.2">
      <c r="B141"/>
      <c r="C141"/>
      <c r="D141"/>
      <c r="E141"/>
      <c r="F141"/>
      <c r="G141"/>
      <c r="K141"/>
      <c r="L141"/>
      <c r="N141"/>
      <c r="O141"/>
      <c r="Q141"/>
    </row>
    <row r="142" spans="2:17" x14ac:dyDescent="0.2">
      <c r="B142"/>
      <c r="C142"/>
      <c r="D142"/>
      <c r="E142"/>
      <c r="F142"/>
      <c r="G142"/>
      <c r="K142"/>
      <c r="L142"/>
      <c r="N142"/>
      <c r="O142"/>
      <c r="Q142"/>
    </row>
    <row r="143" spans="2:17" x14ac:dyDescent="0.2">
      <c r="B143"/>
      <c r="C143"/>
      <c r="D143"/>
      <c r="E143"/>
      <c r="F143"/>
      <c r="G143"/>
      <c r="K143"/>
      <c r="L143"/>
      <c r="N143"/>
      <c r="O143"/>
      <c r="Q143"/>
    </row>
    <row r="144" spans="2:17" x14ac:dyDescent="0.2">
      <c r="B144"/>
      <c r="C144"/>
      <c r="D144"/>
      <c r="E144"/>
      <c r="F144"/>
      <c r="G144"/>
      <c r="K144"/>
      <c r="L144"/>
      <c r="N144"/>
      <c r="O144"/>
      <c r="Q144"/>
    </row>
    <row r="145" spans="2:17" x14ac:dyDescent="0.2">
      <c r="B145"/>
      <c r="C145"/>
      <c r="D145"/>
      <c r="E145"/>
      <c r="F145"/>
      <c r="G145"/>
      <c r="K145"/>
      <c r="L145"/>
      <c r="N145"/>
      <c r="O145"/>
      <c r="Q145"/>
    </row>
    <row r="146" spans="2:17" x14ac:dyDescent="0.2">
      <c r="B146"/>
      <c r="C146"/>
      <c r="D146"/>
      <c r="E146"/>
      <c r="F146"/>
      <c r="G146"/>
      <c r="K146"/>
      <c r="L146"/>
      <c r="N146"/>
      <c r="O146"/>
      <c r="Q146"/>
    </row>
    <row r="147" spans="2:17" x14ac:dyDescent="0.2">
      <c r="B147"/>
      <c r="C147"/>
      <c r="D147"/>
      <c r="E147"/>
      <c r="F147"/>
      <c r="G147"/>
      <c r="K147"/>
      <c r="L147"/>
      <c r="N147"/>
      <c r="O147"/>
      <c r="Q147"/>
    </row>
    <row r="148" spans="2:17" x14ac:dyDescent="0.2">
      <c r="B148"/>
      <c r="C148"/>
      <c r="D148"/>
      <c r="E148"/>
      <c r="F148"/>
      <c r="G148"/>
      <c r="K148"/>
      <c r="L148"/>
      <c r="N148"/>
      <c r="O148"/>
      <c r="Q148"/>
    </row>
    <row r="149" spans="2:17" x14ac:dyDescent="0.2">
      <c r="B149"/>
      <c r="C149"/>
      <c r="D149"/>
      <c r="E149"/>
      <c r="F149"/>
      <c r="G149"/>
      <c r="K149"/>
      <c r="L149"/>
      <c r="N149"/>
      <c r="O149"/>
      <c r="Q149"/>
    </row>
    <row r="150" spans="2:17" x14ac:dyDescent="0.2">
      <c r="B150"/>
      <c r="C150"/>
      <c r="D150"/>
      <c r="E150"/>
      <c r="F150"/>
      <c r="G150"/>
      <c r="K150"/>
      <c r="L150"/>
      <c r="N150"/>
      <c r="O150"/>
      <c r="Q150"/>
    </row>
    <row r="151" spans="2:17" x14ac:dyDescent="0.2">
      <c r="B151"/>
      <c r="C151"/>
      <c r="D151"/>
      <c r="E151"/>
      <c r="F151"/>
      <c r="G151"/>
      <c r="K151"/>
      <c r="L151"/>
      <c r="N151"/>
      <c r="O151"/>
      <c r="Q151"/>
    </row>
    <row r="152" spans="2:17" x14ac:dyDescent="0.2">
      <c r="B152"/>
      <c r="C152"/>
      <c r="D152"/>
      <c r="E152"/>
      <c r="F152"/>
      <c r="G152"/>
      <c r="K152"/>
      <c r="L152"/>
      <c r="N152"/>
      <c r="O152"/>
      <c r="Q152"/>
    </row>
    <row r="153" spans="2:17" x14ac:dyDescent="0.2">
      <c r="B153"/>
      <c r="C153"/>
      <c r="D153"/>
      <c r="E153"/>
      <c r="F153"/>
      <c r="G153"/>
      <c r="K153"/>
      <c r="L153"/>
      <c r="N153"/>
      <c r="O153"/>
      <c r="Q153"/>
    </row>
    <row r="154" spans="2:17" x14ac:dyDescent="0.2">
      <c r="B154"/>
      <c r="C154"/>
      <c r="D154"/>
      <c r="E154"/>
      <c r="F154"/>
      <c r="G154"/>
      <c r="K154"/>
      <c r="L154"/>
      <c r="N154"/>
      <c r="O154"/>
      <c r="Q154"/>
    </row>
    <row r="155" spans="2:17" x14ac:dyDescent="0.2">
      <c r="B155"/>
      <c r="C155"/>
      <c r="D155"/>
      <c r="E155"/>
      <c r="F155"/>
      <c r="G155"/>
      <c r="K155"/>
      <c r="L155"/>
      <c r="N155"/>
      <c r="O155"/>
      <c r="Q155"/>
    </row>
    <row r="156" spans="2:17" x14ac:dyDescent="0.2">
      <c r="B156"/>
      <c r="C156"/>
      <c r="D156"/>
      <c r="E156"/>
      <c r="F156"/>
      <c r="G156"/>
      <c r="K156"/>
      <c r="L156"/>
      <c r="N156"/>
      <c r="O156"/>
      <c r="Q156"/>
    </row>
    <row r="157" spans="2:17" x14ac:dyDescent="0.2">
      <c r="B157"/>
      <c r="C157"/>
      <c r="D157"/>
      <c r="E157"/>
      <c r="F157"/>
      <c r="G157"/>
      <c r="K157"/>
      <c r="L157"/>
      <c r="N157"/>
      <c r="O157"/>
      <c r="Q157"/>
    </row>
    <row r="158" spans="2:17" x14ac:dyDescent="0.2">
      <c r="B158"/>
      <c r="C158"/>
      <c r="D158"/>
      <c r="E158"/>
      <c r="F158"/>
      <c r="G158"/>
      <c r="K158"/>
      <c r="L158"/>
      <c r="N158"/>
      <c r="O158"/>
      <c r="Q158"/>
    </row>
    <row r="159" spans="2:17" x14ac:dyDescent="0.2">
      <c r="B159"/>
      <c r="C159"/>
      <c r="D159"/>
      <c r="E159"/>
      <c r="F159"/>
      <c r="G159"/>
      <c r="K159"/>
      <c r="L159"/>
      <c r="N159"/>
      <c r="O159"/>
      <c r="Q159"/>
    </row>
    <row r="160" spans="2:17" x14ac:dyDescent="0.2">
      <c r="B160"/>
      <c r="C160"/>
      <c r="D160"/>
      <c r="E160"/>
      <c r="F160"/>
      <c r="G160"/>
      <c r="K160"/>
      <c r="L160"/>
      <c r="N160"/>
      <c r="O160"/>
      <c r="Q160"/>
    </row>
    <row r="161" spans="2:17" x14ac:dyDescent="0.2">
      <c r="B161"/>
      <c r="C161"/>
      <c r="D161"/>
      <c r="E161"/>
      <c r="F161"/>
      <c r="G161"/>
      <c r="K161"/>
      <c r="L161"/>
      <c r="N161"/>
      <c r="O161"/>
      <c r="Q161"/>
    </row>
    <row r="162" spans="2:17" x14ac:dyDescent="0.2">
      <c r="B162"/>
      <c r="C162"/>
      <c r="D162"/>
      <c r="E162"/>
      <c r="F162"/>
      <c r="G162"/>
      <c r="K162"/>
      <c r="L162"/>
      <c r="N162"/>
      <c r="O162"/>
      <c r="Q162"/>
    </row>
    <row r="163" spans="2:17" x14ac:dyDescent="0.2">
      <c r="B163"/>
      <c r="C163"/>
      <c r="D163"/>
      <c r="E163"/>
      <c r="F163"/>
      <c r="G163"/>
      <c r="K163"/>
      <c r="L163"/>
      <c r="N163"/>
      <c r="O163"/>
      <c r="Q163"/>
    </row>
    <row r="164" spans="2:17" x14ac:dyDescent="0.2">
      <c r="B164"/>
      <c r="C164"/>
      <c r="D164"/>
      <c r="E164"/>
      <c r="F164"/>
      <c r="G164"/>
      <c r="K164"/>
      <c r="L164"/>
      <c r="N164"/>
      <c r="O164"/>
      <c r="Q164"/>
    </row>
    <row r="165" spans="2:17" x14ac:dyDescent="0.2">
      <c r="B165"/>
      <c r="C165"/>
      <c r="D165"/>
      <c r="E165"/>
      <c r="F165"/>
      <c r="G165"/>
      <c r="K165"/>
      <c r="L165"/>
      <c r="N165"/>
      <c r="O165"/>
      <c r="Q165"/>
    </row>
    <row r="166" spans="2:17" x14ac:dyDescent="0.2">
      <c r="B166"/>
      <c r="C166"/>
      <c r="D166"/>
      <c r="E166"/>
      <c r="F166"/>
      <c r="G166"/>
      <c r="K166"/>
      <c r="L166"/>
      <c r="N166"/>
      <c r="O166"/>
      <c r="Q166"/>
    </row>
    <row r="167" spans="2:17" x14ac:dyDescent="0.2">
      <c r="B167"/>
      <c r="C167"/>
      <c r="D167"/>
      <c r="E167"/>
      <c r="F167"/>
      <c r="G167"/>
      <c r="K167"/>
      <c r="L167"/>
      <c r="N167"/>
      <c r="O167"/>
      <c r="Q167"/>
    </row>
    <row r="168" spans="2:17" x14ac:dyDescent="0.2">
      <c r="B168"/>
      <c r="C168"/>
      <c r="D168"/>
      <c r="E168"/>
      <c r="F168"/>
      <c r="G168"/>
      <c r="K168"/>
      <c r="L168"/>
      <c r="N168"/>
      <c r="O168"/>
      <c r="Q168"/>
    </row>
    <row r="169" spans="2:17" x14ac:dyDescent="0.2">
      <c r="B169"/>
      <c r="C169"/>
      <c r="D169"/>
      <c r="E169"/>
      <c r="F169"/>
      <c r="G169"/>
      <c r="K169"/>
      <c r="L169"/>
      <c r="N169"/>
      <c r="O169"/>
      <c r="Q169"/>
    </row>
    <row r="170" spans="2:17" x14ac:dyDescent="0.2">
      <c r="B170"/>
      <c r="C170"/>
      <c r="D170"/>
      <c r="E170"/>
      <c r="F170"/>
      <c r="G170"/>
      <c r="K170"/>
      <c r="L170"/>
      <c r="N170"/>
      <c r="O170"/>
      <c r="Q170"/>
    </row>
    <row r="171" spans="2:17" x14ac:dyDescent="0.2">
      <c r="B171"/>
      <c r="C171"/>
      <c r="D171"/>
      <c r="E171"/>
      <c r="F171"/>
      <c r="G171"/>
      <c r="K171"/>
      <c r="L171"/>
      <c r="N171"/>
      <c r="O171"/>
      <c r="Q171"/>
    </row>
    <row r="172" spans="2:17" x14ac:dyDescent="0.2">
      <c r="B172"/>
      <c r="C172"/>
      <c r="D172"/>
      <c r="E172"/>
      <c r="F172"/>
      <c r="G172"/>
      <c r="K172"/>
      <c r="L172"/>
      <c r="N172"/>
      <c r="O172"/>
      <c r="Q172"/>
    </row>
    <row r="173" spans="2:17" x14ac:dyDescent="0.2">
      <c r="B173"/>
      <c r="C173"/>
      <c r="D173"/>
      <c r="E173"/>
      <c r="F173"/>
      <c r="G173"/>
      <c r="K173"/>
      <c r="L173"/>
      <c r="N173"/>
      <c r="O173"/>
      <c r="Q173"/>
    </row>
    <row r="174" spans="2:17" x14ac:dyDescent="0.2">
      <c r="B174"/>
      <c r="C174"/>
      <c r="D174"/>
      <c r="E174"/>
      <c r="F174"/>
      <c r="G174"/>
      <c r="K174"/>
      <c r="L174"/>
      <c r="N174"/>
      <c r="O174"/>
      <c r="Q174"/>
    </row>
    <row r="175" spans="2:17" x14ac:dyDescent="0.2">
      <c r="B175"/>
      <c r="C175"/>
      <c r="D175"/>
      <c r="E175"/>
      <c r="F175"/>
      <c r="G175"/>
      <c r="K175"/>
      <c r="L175"/>
      <c r="N175"/>
      <c r="O175"/>
      <c r="Q175"/>
    </row>
    <row r="176" spans="2:17" x14ac:dyDescent="0.2">
      <c r="B176"/>
      <c r="C176"/>
      <c r="D176"/>
      <c r="E176"/>
      <c r="F176"/>
      <c r="G176"/>
      <c r="K176"/>
      <c r="L176"/>
      <c r="N176"/>
      <c r="O176"/>
      <c r="Q176"/>
    </row>
    <row r="177" spans="2:17" x14ac:dyDescent="0.2">
      <c r="B177"/>
      <c r="C177"/>
      <c r="D177"/>
      <c r="E177"/>
      <c r="F177"/>
      <c r="G177"/>
      <c r="K177"/>
      <c r="L177"/>
      <c r="N177"/>
      <c r="O177"/>
      <c r="Q177"/>
    </row>
    <row r="178" spans="2:17" x14ac:dyDescent="0.2">
      <c r="B178"/>
      <c r="C178"/>
      <c r="D178"/>
      <c r="E178"/>
      <c r="F178"/>
      <c r="G178"/>
      <c r="K178"/>
      <c r="L178"/>
      <c r="N178"/>
      <c r="O178"/>
      <c r="Q178"/>
    </row>
    <row r="179" spans="2:17" x14ac:dyDescent="0.2">
      <c r="B179"/>
      <c r="C179"/>
      <c r="D179"/>
      <c r="E179"/>
      <c r="F179"/>
      <c r="G179"/>
      <c r="K179"/>
      <c r="L179"/>
      <c r="N179"/>
      <c r="O179"/>
      <c r="Q179"/>
    </row>
    <row r="180" spans="2:17" x14ac:dyDescent="0.2">
      <c r="B180"/>
      <c r="C180"/>
      <c r="D180"/>
      <c r="E180"/>
      <c r="F180"/>
      <c r="G180"/>
      <c r="K180"/>
      <c r="L180"/>
      <c r="N180"/>
      <c r="O180"/>
      <c r="Q180"/>
    </row>
    <row r="181" spans="2:17" x14ac:dyDescent="0.2">
      <c r="B181"/>
      <c r="C181"/>
      <c r="D181"/>
      <c r="E181"/>
      <c r="F181"/>
      <c r="G181"/>
      <c r="K181"/>
      <c r="L181"/>
      <c r="N181"/>
      <c r="O181"/>
      <c r="Q181"/>
    </row>
    <row r="182" spans="2:17" x14ac:dyDescent="0.2">
      <c r="B182"/>
      <c r="C182"/>
      <c r="D182"/>
      <c r="E182"/>
      <c r="F182"/>
      <c r="G182"/>
      <c r="K182"/>
      <c r="L182"/>
      <c r="N182"/>
      <c r="O182"/>
      <c r="Q182"/>
    </row>
    <row r="183" spans="2:17" x14ac:dyDescent="0.2">
      <c r="B183"/>
      <c r="C183"/>
      <c r="D183"/>
      <c r="E183"/>
      <c r="F183"/>
      <c r="G183"/>
      <c r="K183"/>
      <c r="L183"/>
      <c r="N183"/>
      <c r="O183"/>
      <c r="Q183"/>
    </row>
    <row r="184" spans="2:17" x14ac:dyDescent="0.2">
      <c r="B184"/>
      <c r="C184"/>
      <c r="D184"/>
      <c r="E184"/>
      <c r="F184"/>
      <c r="G184"/>
      <c r="K184"/>
      <c r="L184"/>
      <c r="N184"/>
      <c r="O184"/>
      <c r="Q184"/>
    </row>
    <row r="185" spans="2:17" x14ac:dyDescent="0.2">
      <c r="B185"/>
      <c r="C185"/>
      <c r="D185"/>
      <c r="E185"/>
      <c r="F185"/>
      <c r="G185"/>
      <c r="K185"/>
      <c r="L185"/>
      <c r="N185"/>
      <c r="O185"/>
      <c r="Q185"/>
    </row>
    <row r="186" spans="2:17" x14ac:dyDescent="0.2">
      <c r="B186"/>
      <c r="C186"/>
      <c r="D186"/>
      <c r="E186"/>
      <c r="F186"/>
      <c r="G186"/>
      <c r="K186"/>
      <c r="L186"/>
      <c r="N186"/>
      <c r="O186"/>
      <c r="Q186"/>
    </row>
    <row r="187" spans="2:17" x14ac:dyDescent="0.2">
      <c r="B187"/>
      <c r="C187"/>
      <c r="D187"/>
      <c r="E187"/>
      <c r="F187"/>
      <c r="G187"/>
      <c r="K187"/>
      <c r="L187"/>
      <c r="N187"/>
      <c r="O187"/>
      <c r="Q187"/>
    </row>
    <row r="188" spans="2:17" x14ac:dyDescent="0.2">
      <c r="B188"/>
      <c r="C188"/>
      <c r="D188"/>
      <c r="E188"/>
      <c r="F188"/>
      <c r="G188"/>
      <c r="K188"/>
      <c r="L188"/>
      <c r="N188"/>
      <c r="O188"/>
      <c r="Q188"/>
    </row>
    <row r="189" spans="2:17" x14ac:dyDescent="0.2">
      <c r="B189"/>
      <c r="C189"/>
      <c r="D189"/>
      <c r="E189"/>
      <c r="F189"/>
      <c r="G189"/>
      <c r="K189"/>
      <c r="L189"/>
      <c r="N189"/>
      <c r="O189"/>
      <c r="Q189"/>
    </row>
    <row r="190" spans="2:17" x14ac:dyDescent="0.2">
      <c r="B190"/>
      <c r="C190"/>
      <c r="D190"/>
      <c r="E190"/>
      <c r="F190"/>
      <c r="G190"/>
      <c r="K190"/>
      <c r="L190"/>
      <c r="N190"/>
      <c r="O190"/>
      <c r="Q190"/>
    </row>
    <row r="191" spans="2:17" x14ac:dyDescent="0.2">
      <c r="B191"/>
      <c r="C191"/>
      <c r="D191"/>
      <c r="E191"/>
      <c r="F191"/>
      <c r="G191"/>
      <c r="K191"/>
      <c r="L191"/>
      <c r="N191"/>
      <c r="O191"/>
      <c r="Q191"/>
    </row>
    <row r="192" spans="2:17" x14ac:dyDescent="0.2">
      <c r="B192"/>
      <c r="C192"/>
      <c r="D192"/>
      <c r="E192"/>
      <c r="F192"/>
      <c r="G192"/>
      <c r="K192"/>
      <c r="L192"/>
      <c r="N192"/>
      <c r="O192"/>
      <c r="Q192"/>
    </row>
    <row r="193" spans="2:17" x14ac:dyDescent="0.2">
      <c r="B193"/>
      <c r="C193"/>
      <c r="D193"/>
      <c r="E193"/>
      <c r="F193"/>
      <c r="G193"/>
      <c r="K193"/>
      <c r="L193"/>
      <c r="N193"/>
      <c r="O193"/>
      <c r="Q193"/>
    </row>
    <row r="194" spans="2:17" x14ac:dyDescent="0.2">
      <c r="B194"/>
      <c r="C194"/>
      <c r="D194"/>
      <c r="E194"/>
      <c r="F194"/>
      <c r="G194"/>
      <c r="K194"/>
      <c r="L194"/>
      <c r="N194"/>
      <c r="O194"/>
      <c r="Q194"/>
    </row>
    <row r="195" spans="2:17" x14ac:dyDescent="0.2">
      <c r="B195"/>
      <c r="C195"/>
      <c r="D195"/>
      <c r="E195"/>
      <c r="F195"/>
      <c r="G195"/>
      <c r="K195"/>
      <c r="L195"/>
      <c r="N195"/>
      <c r="O195"/>
      <c r="Q195"/>
    </row>
    <row r="196" spans="2:17" x14ac:dyDescent="0.2">
      <c r="B196"/>
      <c r="C196"/>
      <c r="D196"/>
      <c r="E196"/>
      <c r="F196"/>
      <c r="G196"/>
      <c r="K196"/>
      <c r="L196"/>
      <c r="N196"/>
      <c r="O196"/>
      <c r="Q196"/>
    </row>
    <row r="197" spans="2:17" x14ac:dyDescent="0.2">
      <c r="B197"/>
      <c r="C197"/>
      <c r="D197"/>
      <c r="E197"/>
      <c r="F197"/>
      <c r="G197"/>
      <c r="K197"/>
      <c r="L197"/>
      <c r="N197"/>
      <c r="O197"/>
      <c r="Q197"/>
    </row>
    <row r="198" spans="2:17" x14ac:dyDescent="0.2">
      <c r="B198"/>
      <c r="C198"/>
      <c r="D198"/>
      <c r="E198"/>
      <c r="F198"/>
      <c r="G198"/>
      <c r="K198"/>
      <c r="L198"/>
      <c r="N198"/>
      <c r="O198"/>
      <c r="Q198"/>
    </row>
    <row r="199" spans="2:17" x14ac:dyDescent="0.2">
      <c r="B199"/>
      <c r="C199"/>
      <c r="D199"/>
      <c r="E199"/>
      <c r="F199"/>
      <c r="G199"/>
      <c r="K199"/>
      <c r="L199"/>
      <c r="N199"/>
      <c r="O199"/>
      <c r="Q199"/>
    </row>
    <row r="200" spans="2:17" x14ac:dyDescent="0.2">
      <c r="B200"/>
      <c r="C200"/>
      <c r="D200"/>
      <c r="E200"/>
      <c r="F200"/>
      <c r="G200"/>
      <c r="K200"/>
      <c r="L200"/>
      <c r="N200"/>
      <c r="O200"/>
      <c r="Q200"/>
    </row>
    <row r="201" spans="2:17" x14ac:dyDescent="0.2">
      <c r="B201"/>
      <c r="C201"/>
      <c r="D201"/>
      <c r="E201"/>
      <c r="F201"/>
      <c r="G201"/>
      <c r="K201"/>
      <c r="L201"/>
      <c r="N201"/>
      <c r="O201"/>
      <c r="Q201"/>
    </row>
    <row r="202" spans="2:17" x14ac:dyDescent="0.2">
      <c r="B202"/>
      <c r="C202"/>
      <c r="D202"/>
      <c r="E202"/>
      <c r="F202"/>
      <c r="G202"/>
      <c r="K202"/>
      <c r="L202"/>
      <c r="N202"/>
      <c r="O202"/>
      <c r="Q202"/>
    </row>
    <row r="203" spans="2:17" x14ac:dyDescent="0.2">
      <c r="B203"/>
      <c r="C203"/>
      <c r="D203"/>
      <c r="E203"/>
      <c r="F203"/>
      <c r="G203"/>
      <c r="K203"/>
      <c r="L203"/>
      <c r="N203"/>
      <c r="O203"/>
      <c r="Q203"/>
    </row>
    <row r="204" spans="2:17" x14ac:dyDescent="0.2">
      <c r="B204"/>
      <c r="C204"/>
      <c r="D204"/>
      <c r="E204"/>
      <c r="F204"/>
      <c r="G204"/>
      <c r="K204"/>
      <c r="L204"/>
      <c r="N204"/>
      <c r="O204"/>
      <c r="Q204"/>
    </row>
    <row r="205" spans="2:17" x14ac:dyDescent="0.2">
      <c r="B205"/>
      <c r="C205"/>
      <c r="D205"/>
      <c r="E205"/>
      <c r="F205"/>
      <c r="G205"/>
      <c r="K205"/>
      <c r="L205"/>
      <c r="N205"/>
      <c r="O205"/>
      <c r="Q205"/>
    </row>
    <row r="206" spans="2:17" x14ac:dyDescent="0.2">
      <c r="B206"/>
      <c r="C206"/>
      <c r="D206"/>
      <c r="E206"/>
      <c r="F206"/>
      <c r="G206"/>
      <c r="K206"/>
      <c r="L206"/>
      <c r="N206"/>
      <c r="O206"/>
      <c r="Q206"/>
    </row>
    <row r="207" spans="2:17" x14ac:dyDescent="0.2">
      <c r="B207"/>
      <c r="C207"/>
      <c r="D207"/>
      <c r="E207"/>
      <c r="F207"/>
      <c r="G207"/>
      <c r="K207"/>
      <c r="L207"/>
      <c r="N207"/>
      <c r="O207"/>
      <c r="Q207"/>
    </row>
    <row r="208" spans="2:17" x14ac:dyDescent="0.2">
      <c r="B208"/>
      <c r="C208"/>
      <c r="D208"/>
      <c r="E208"/>
      <c r="F208"/>
      <c r="G208"/>
      <c r="K208"/>
      <c r="L208"/>
      <c r="N208"/>
      <c r="O208"/>
      <c r="Q208"/>
    </row>
    <row r="209" spans="2:17" x14ac:dyDescent="0.2">
      <c r="B209"/>
      <c r="C209"/>
      <c r="D209"/>
      <c r="E209"/>
      <c r="F209"/>
      <c r="G209"/>
      <c r="K209"/>
      <c r="L209"/>
      <c r="N209"/>
      <c r="O209"/>
      <c r="Q209"/>
    </row>
    <row r="210" spans="2:17" x14ac:dyDescent="0.2">
      <c r="B210"/>
      <c r="C210"/>
      <c r="D210"/>
      <c r="E210"/>
      <c r="F210"/>
      <c r="G210"/>
      <c r="K210"/>
      <c r="L210"/>
      <c r="N210"/>
      <c r="O210"/>
      <c r="Q210"/>
    </row>
    <row r="211" spans="2:17" x14ac:dyDescent="0.2">
      <c r="B211"/>
      <c r="C211"/>
      <c r="D211"/>
      <c r="E211"/>
      <c r="F211"/>
      <c r="G211"/>
      <c r="K211"/>
      <c r="L211"/>
      <c r="N211"/>
      <c r="O211"/>
      <c r="Q211"/>
    </row>
    <row r="212" spans="2:17" x14ac:dyDescent="0.2">
      <c r="B212"/>
      <c r="C212"/>
      <c r="D212"/>
      <c r="E212"/>
      <c r="F212"/>
      <c r="G212"/>
      <c r="K212"/>
      <c r="L212"/>
      <c r="N212"/>
      <c r="O212"/>
      <c r="Q212"/>
    </row>
    <row r="213" spans="2:17" x14ac:dyDescent="0.2">
      <c r="B213"/>
      <c r="C213"/>
      <c r="D213"/>
      <c r="E213"/>
      <c r="F213"/>
      <c r="G213"/>
      <c r="K213"/>
      <c r="L213"/>
      <c r="N213"/>
      <c r="O213"/>
      <c r="Q213"/>
    </row>
    <row r="214" spans="2:17" x14ac:dyDescent="0.2">
      <c r="B214"/>
      <c r="C214"/>
      <c r="D214"/>
      <c r="E214"/>
      <c r="F214"/>
      <c r="G214"/>
      <c r="K214"/>
      <c r="L214"/>
      <c r="N214"/>
      <c r="O214"/>
      <c r="Q214"/>
    </row>
    <row r="215" spans="2:17" x14ac:dyDescent="0.2">
      <c r="B215"/>
      <c r="C215"/>
      <c r="D215"/>
      <c r="E215"/>
      <c r="F215"/>
      <c r="G215"/>
      <c r="K215"/>
      <c r="L215"/>
      <c r="N215"/>
      <c r="O215"/>
      <c r="Q215"/>
    </row>
    <row r="216" spans="2:17" x14ac:dyDescent="0.2">
      <c r="B216"/>
      <c r="C216"/>
      <c r="D216"/>
      <c r="E216"/>
      <c r="F216"/>
      <c r="G216"/>
      <c r="K216"/>
      <c r="L216"/>
      <c r="N216"/>
      <c r="O216"/>
      <c r="Q216"/>
    </row>
    <row r="217" spans="2:17" x14ac:dyDescent="0.2">
      <c r="B217"/>
      <c r="C217"/>
      <c r="D217"/>
      <c r="E217"/>
      <c r="F217"/>
      <c r="G217"/>
      <c r="K217"/>
      <c r="L217"/>
      <c r="N217"/>
      <c r="O217"/>
      <c r="Q217"/>
    </row>
    <row r="218" spans="2:17" x14ac:dyDescent="0.2">
      <c r="B218"/>
      <c r="C218"/>
      <c r="D218"/>
      <c r="E218"/>
      <c r="F218"/>
      <c r="G218"/>
      <c r="K218"/>
      <c r="L218"/>
      <c r="N218"/>
      <c r="O218"/>
      <c r="Q218"/>
    </row>
    <row r="219" spans="2:17" x14ac:dyDescent="0.2">
      <c r="B219"/>
      <c r="C219"/>
      <c r="D219"/>
      <c r="E219"/>
      <c r="F219"/>
      <c r="G219"/>
      <c r="K219"/>
      <c r="L219"/>
      <c r="N219"/>
      <c r="O219"/>
      <c r="Q219"/>
    </row>
    <row r="220" spans="2:17" x14ac:dyDescent="0.2">
      <c r="B220"/>
      <c r="C220"/>
      <c r="D220"/>
      <c r="E220"/>
      <c r="F220"/>
      <c r="G220"/>
      <c r="K220"/>
      <c r="L220"/>
      <c r="N220"/>
      <c r="O220"/>
      <c r="Q220"/>
    </row>
    <row r="221" spans="2:17" x14ac:dyDescent="0.2">
      <c r="B221"/>
      <c r="C221"/>
      <c r="D221"/>
      <c r="E221"/>
      <c r="F221"/>
      <c r="G221"/>
      <c r="K221"/>
      <c r="L221"/>
      <c r="N221"/>
      <c r="O221"/>
      <c r="Q221"/>
    </row>
    <row r="222" spans="2:17" x14ac:dyDescent="0.2">
      <c r="B222"/>
      <c r="C222"/>
      <c r="D222"/>
      <c r="E222"/>
      <c r="F222"/>
      <c r="G222"/>
      <c r="K222"/>
      <c r="L222"/>
      <c r="N222"/>
      <c r="O222"/>
      <c r="Q222"/>
    </row>
    <row r="223" spans="2:17" x14ac:dyDescent="0.2">
      <c r="B223"/>
      <c r="C223"/>
      <c r="D223"/>
      <c r="E223"/>
      <c r="F223"/>
      <c r="G223"/>
      <c r="K223"/>
      <c r="L223"/>
      <c r="N223"/>
      <c r="O223"/>
      <c r="Q223"/>
    </row>
    <row r="224" spans="2:17" x14ac:dyDescent="0.2">
      <c r="B224"/>
      <c r="C224"/>
      <c r="D224"/>
      <c r="E224"/>
      <c r="F224"/>
      <c r="G224"/>
      <c r="K224"/>
      <c r="L224"/>
      <c r="N224"/>
      <c r="O224"/>
      <c r="Q224"/>
    </row>
    <row r="225" spans="2:17" x14ac:dyDescent="0.2">
      <c r="B225"/>
      <c r="C225"/>
      <c r="D225"/>
      <c r="E225"/>
      <c r="F225"/>
      <c r="G225"/>
      <c r="K225"/>
      <c r="L225"/>
      <c r="N225"/>
      <c r="O225"/>
      <c r="Q225"/>
    </row>
    <row r="226" spans="2:17" x14ac:dyDescent="0.2">
      <c r="B226"/>
      <c r="C226"/>
      <c r="D226"/>
      <c r="E226"/>
      <c r="F226"/>
      <c r="G226"/>
      <c r="K226"/>
      <c r="L226"/>
      <c r="N226"/>
      <c r="O226"/>
      <c r="Q226"/>
    </row>
    <row r="227" spans="2:17" x14ac:dyDescent="0.2">
      <c r="B227"/>
      <c r="C227"/>
      <c r="D227"/>
      <c r="E227"/>
      <c r="F227"/>
      <c r="G227"/>
      <c r="K227"/>
      <c r="L227"/>
      <c r="N227"/>
      <c r="O227"/>
      <c r="Q227"/>
    </row>
    <row r="228" spans="2:17" x14ac:dyDescent="0.2">
      <c r="B228"/>
      <c r="C228"/>
      <c r="D228"/>
      <c r="E228"/>
      <c r="F228"/>
      <c r="G228"/>
      <c r="K228"/>
      <c r="L228"/>
      <c r="N228"/>
      <c r="O228"/>
      <c r="Q228"/>
    </row>
    <row r="229" spans="2:17" x14ac:dyDescent="0.2">
      <c r="B229"/>
      <c r="C229"/>
      <c r="D229"/>
      <c r="E229"/>
      <c r="F229"/>
      <c r="G229"/>
      <c r="K229"/>
      <c r="L229"/>
      <c r="N229"/>
      <c r="O229"/>
      <c r="Q229"/>
    </row>
    <row r="230" spans="2:17" x14ac:dyDescent="0.2">
      <c r="B230"/>
      <c r="C230"/>
      <c r="D230"/>
      <c r="E230"/>
      <c r="F230"/>
      <c r="G230"/>
      <c r="K230"/>
      <c r="L230"/>
      <c r="N230"/>
      <c r="O230"/>
      <c r="Q230"/>
    </row>
    <row r="231" spans="2:17" x14ac:dyDescent="0.2">
      <c r="B231"/>
      <c r="C231"/>
      <c r="D231"/>
      <c r="E231"/>
      <c r="F231"/>
      <c r="G231"/>
      <c r="K231"/>
      <c r="L231"/>
      <c r="N231"/>
      <c r="O231"/>
      <c r="Q231"/>
    </row>
    <row r="232" spans="2:17" x14ac:dyDescent="0.2">
      <c r="B232"/>
      <c r="C232"/>
      <c r="D232"/>
      <c r="E232"/>
      <c r="F232"/>
      <c r="G232"/>
      <c r="K232"/>
      <c r="L232"/>
      <c r="N232"/>
      <c r="O232"/>
      <c r="Q232"/>
    </row>
    <row r="233" spans="2:17" x14ac:dyDescent="0.2">
      <c r="B233"/>
      <c r="C233"/>
      <c r="D233"/>
      <c r="E233"/>
      <c r="F233"/>
      <c r="G233"/>
      <c r="K233"/>
      <c r="L233"/>
      <c r="N233"/>
      <c r="O233"/>
      <c r="Q233"/>
    </row>
    <row r="234" spans="2:17" x14ac:dyDescent="0.2">
      <c r="B234"/>
      <c r="C234"/>
      <c r="D234"/>
      <c r="E234"/>
      <c r="F234"/>
      <c r="G234"/>
      <c r="K234"/>
      <c r="L234"/>
      <c r="N234"/>
      <c r="O234"/>
      <c r="Q234"/>
    </row>
    <row r="235" spans="2:17" x14ac:dyDescent="0.2">
      <c r="B235"/>
      <c r="C235"/>
      <c r="D235"/>
      <c r="E235"/>
      <c r="F235"/>
      <c r="G235"/>
      <c r="K235"/>
      <c r="L235"/>
      <c r="N235"/>
      <c r="O235"/>
      <c r="Q235"/>
    </row>
    <row r="236" spans="2:17" x14ac:dyDescent="0.2">
      <c r="B236"/>
      <c r="C236"/>
      <c r="D236"/>
      <c r="E236"/>
      <c r="F236"/>
      <c r="G236"/>
      <c r="K236"/>
      <c r="L236"/>
      <c r="N236"/>
      <c r="O236"/>
      <c r="Q236"/>
    </row>
    <row r="237" spans="2:17" x14ac:dyDescent="0.2">
      <c r="B237"/>
      <c r="C237"/>
      <c r="D237"/>
      <c r="E237"/>
      <c r="F237"/>
      <c r="G237"/>
      <c r="K237"/>
      <c r="L237"/>
      <c r="N237"/>
      <c r="O237"/>
      <c r="Q237"/>
    </row>
    <row r="238" spans="2:17" x14ac:dyDescent="0.2">
      <c r="B238"/>
      <c r="C238"/>
      <c r="D238"/>
      <c r="E238"/>
      <c r="F238"/>
      <c r="G238"/>
      <c r="K238"/>
      <c r="L238"/>
      <c r="N238"/>
      <c r="O238"/>
      <c r="Q238"/>
    </row>
    <row r="239" spans="2:17" x14ac:dyDescent="0.2">
      <c r="B239"/>
      <c r="C239"/>
      <c r="D239"/>
      <c r="E239"/>
      <c r="F239"/>
      <c r="G239"/>
      <c r="K239"/>
      <c r="L239"/>
      <c r="N239"/>
      <c r="O239"/>
      <c r="Q239"/>
    </row>
    <row r="240" spans="2:17" x14ac:dyDescent="0.2">
      <c r="B240"/>
      <c r="C240"/>
      <c r="D240"/>
      <c r="E240"/>
      <c r="F240"/>
      <c r="G240"/>
      <c r="K240"/>
      <c r="L240"/>
      <c r="N240"/>
      <c r="O240"/>
      <c r="Q240"/>
    </row>
    <row r="241" spans="2:17" x14ac:dyDescent="0.2">
      <c r="B241"/>
      <c r="C241"/>
      <c r="D241"/>
      <c r="E241"/>
      <c r="F241"/>
      <c r="G241"/>
      <c r="K241"/>
      <c r="L241"/>
      <c r="N241"/>
      <c r="O241"/>
      <c r="Q241"/>
    </row>
    <row r="242" spans="2:17" x14ac:dyDescent="0.2">
      <c r="B242"/>
      <c r="C242"/>
      <c r="D242"/>
      <c r="E242"/>
      <c r="F242"/>
      <c r="G242"/>
      <c r="K242"/>
      <c r="L242"/>
      <c r="N242"/>
      <c r="O242"/>
      <c r="Q242"/>
    </row>
    <row r="243" spans="2:17" x14ac:dyDescent="0.2">
      <c r="B243"/>
      <c r="C243"/>
      <c r="D243"/>
      <c r="E243"/>
      <c r="F243"/>
      <c r="G243"/>
      <c r="K243"/>
      <c r="L243"/>
      <c r="N243"/>
      <c r="O243"/>
      <c r="Q243"/>
    </row>
    <row r="244" spans="2:17" x14ac:dyDescent="0.2">
      <c r="B244"/>
      <c r="C244"/>
      <c r="D244"/>
      <c r="E244"/>
      <c r="F244"/>
      <c r="G244"/>
      <c r="K244"/>
      <c r="L244"/>
      <c r="N244"/>
      <c r="O244"/>
      <c r="Q244"/>
    </row>
    <row r="245" spans="2:17" x14ac:dyDescent="0.2">
      <c r="B245"/>
      <c r="C245"/>
      <c r="D245"/>
      <c r="E245"/>
      <c r="F245"/>
      <c r="G245"/>
      <c r="K245"/>
      <c r="L245"/>
      <c r="N245"/>
      <c r="O245"/>
      <c r="Q245"/>
    </row>
    <row r="246" spans="2:17" x14ac:dyDescent="0.2">
      <c r="B246"/>
      <c r="C246"/>
      <c r="D246"/>
      <c r="E246"/>
      <c r="F246"/>
      <c r="G246"/>
      <c r="K246"/>
      <c r="L246"/>
      <c r="N246"/>
      <c r="O246"/>
      <c r="Q246"/>
    </row>
    <row r="247" spans="2:17" x14ac:dyDescent="0.2">
      <c r="B247"/>
      <c r="C247"/>
      <c r="D247"/>
      <c r="E247"/>
      <c r="F247"/>
      <c r="G247"/>
      <c r="K247"/>
      <c r="L247"/>
      <c r="N247"/>
      <c r="O247"/>
      <c r="Q247"/>
    </row>
    <row r="248" spans="2:17" x14ac:dyDescent="0.2">
      <c r="B248"/>
      <c r="C248"/>
      <c r="D248"/>
      <c r="E248"/>
      <c r="F248"/>
      <c r="G248"/>
      <c r="K248"/>
      <c r="L248"/>
      <c r="N248"/>
      <c r="O248"/>
      <c r="Q248"/>
    </row>
    <row r="249" spans="2:17" x14ac:dyDescent="0.2">
      <c r="B249"/>
      <c r="C249"/>
      <c r="D249"/>
      <c r="E249"/>
      <c r="F249"/>
      <c r="G249"/>
      <c r="K249"/>
      <c r="L249"/>
      <c r="N249"/>
      <c r="O249"/>
      <c r="Q249"/>
    </row>
    <row r="250" spans="2:17" x14ac:dyDescent="0.2">
      <c r="B250"/>
      <c r="C250"/>
      <c r="D250"/>
      <c r="E250"/>
      <c r="F250"/>
      <c r="G250"/>
      <c r="K250"/>
      <c r="L250"/>
      <c r="N250"/>
      <c r="O250"/>
      <c r="Q250"/>
    </row>
    <row r="251" spans="2:17" x14ac:dyDescent="0.2">
      <c r="B251"/>
      <c r="C251"/>
      <c r="D251"/>
      <c r="E251"/>
      <c r="F251"/>
      <c r="G251"/>
      <c r="K251"/>
      <c r="L251"/>
      <c r="N251"/>
      <c r="O251"/>
      <c r="Q251"/>
    </row>
    <row r="252" spans="2:17" x14ac:dyDescent="0.2">
      <c r="B252"/>
      <c r="C252"/>
      <c r="D252"/>
      <c r="E252"/>
      <c r="F252"/>
      <c r="G252"/>
      <c r="K252"/>
      <c r="L252"/>
      <c r="N252"/>
      <c r="O252"/>
      <c r="Q252"/>
    </row>
    <row r="253" spans="2:17" x14ac:dyDescent="0.2">
      <c r="B253"/>
      <c r="C253"/>
      <c r="D253"/>
      <c r="E253"/>
      <c r="F253"/>
      <c r="G253"/>
      <c r="K253"/>
      <c r="L253"/>
      <c r="N253"/>
      <c r="O253"/>
      <c r="Q253"/>
    </row>
    <row r="254" spans="2:17" x14ac:dyDescent="0.2">
      <c r="B254"/>
      <c r="C254"/>
      <c r="D254"/>
      <c r="E254"/>
      <c r="F254"/>
      <c r="G254"/>
      <c r="K254"/>
      <c r="L254"/>
      <c r="N254"/>
      <c r="O254"/>
      <c r="Q254"/>
    </row>
    <row r="255" spans="2:17" x14ac:dyDescent="0.2">
      <c r="B255"/>
      <c r="C255"/>
      <c r="D255"/>
      <c r="E255"/>
      <c r="F255"/>
      <c r="G255"/>
      <c r="K255"/>
      <c r="L255"/>
      <c r="N255"/>
      <c r="O255"/>
      <c r="Q255"/>
    </row>
    <row r="256" spans="2:17" x14ac:dyDescent="0.2">
      <c r="B256"/>
      <c r="C256"/>
      <c r="D256"/>
      <c r="E256"/>
      <c r="F256"/>
      <c r="G256"/>
      <c r="K256"/>
      <c r="L256"/>
      <c r="N256"/>
      <c r="O256"/>
      <c r="Q256"/>
    </row>
    <row r="257" spans="2:17" x14ac:dyDescent="0.2">
      <c r="B257"/>
      <c r="C257"/>
      <c r="D257"/>
      <c r="E257"/>
      <c r="F257"/>
      <c r="G257"/>
      <c r="K257"/>
      <c r="L257"/>
      <c r="N257"/>
      <c r="O257"/>
      <c r="Q257"/>
    </row>
    <row r="258" spans="2:17" x14ac:dyDescent="0.2">
      <c r="B258"/>
      <c r="C258"/>
      <c r="D258"/>
      <c r="E258"/>
      <c r="F258"/>
      <c r="G258"/>
      <c r="K258"/>
      <c r="L258"/>
      <c r="N258"/>
      <c r="O258"/>
      <c r="Q258"/>
    </row>
    <row r="259" spans="2:17" x14ac:dyDescent="0.2">
      <c r="B259"/>
      <c r="C259"/>
      <c r="D259"/>
      <c r="E259"/>
      <c r="F259"/>
      <c r="G259"/>
      <c r="K259"/>
      <c r="L259"/>
      <c r="N259"/>
      <c r="O259"/>
      <c r="Q259"/>
    </row>
  </sheetData>
  <mergeCells count="1">
    <mergeCell ref="AC1:A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BDC9F-AAF6-4241-98E5-E9E79D268630}">
  <sheetPr>
    <tabColor rgb="FF00B050"/>
  </sheetPr>
  <dimension ref="A1:D40"/>
  <sheetViews>
    <sheetView zoomScale="130" zoomScaleNormal="130" workbookViewId="0">
      <selection activeCell="C9" sqref="C9"/>
    </sheetView>
  </sheetViews>
  <sheetFormatPr baseColWidth="10" defaultRowHeight="16" x14ac:dyDescent="0.2"/>
  <cols>
    <col min="1" max="1" width="23.33203125" bestFit="1" customWidth="1"/>
    <col min="2" max="2" width="20.33203125" bestFit="1" customWidth="1"/>
    <col min="3" max="3" width="141.6640625" bestFit="1" customWidth="1"/>
  </cols>
  <sheetData>
    <row r="1" spans="1:3" x14ac:dyDescent="0.2">
      <c r="A1" s="282" t="s">
        <v>623</v>
      </c>
      <c r="B1" s="286" t="s">
        <v>624</v>
      </c>
      <c r="C1" s="284" t="s">
        <v>533</v>
      </c>
    </row>
    <row r="2" spans="1:3" ht="17" customHeight="1" x14ac:dyDescent="0.2">
      <c r="A2" s="231" t="s">
        <v>622</v>
      </c>
      <c r="B2" s="283" t="s">
        <v>532</v>
      </c>
      <c r="C2" s="285"/>
    </row>
    <row r="3" spans="1:3" x14ac:dyDescent="0.2">
      <c r="A3" s="200" t="s">
        <v>520</v>
      </c>
      <c r="B3" s="123" t="s">
        <v>15</v>
      </c>
      <c r="C3" t="s">
        <v>534</v>
      </c>
    </row>
    <row r="4" spans="1:3" x14ac:dyDescent="0.2">
      <c r="A4" s="200" t="s">
        <v>535</v>
      </c>
      <c r="B4" s="123" t="s">
        <v>16</v>
      </c>
      <c r="C4" t="s">
        <v>536</v>
      </c>
    </row>
    <row r="5" spans="1:3" x14ac:dyDescent="0.2">
      <c r="A5" s="200" t="s">
        <v>521</v>
      </c>
      <c r="B5" s="123" t="s">
        <v>17</v>
      </c>
      <c r="C5" t="s">
        <v>537</v>
      </c>
    </row>
    <row r="6" spans="1:3" x14ac:dyDescent="0.2">
      <c r="A6" s="200" t="s">
        <v>522</v>
      </c>
      <c r="B6" s="123" t="s">
        <v>18</v>
      </c>
      <c r="C6" t="s">
        <v>621</v>
      </c>
    </row>
    <row r="7" spans="1:3" x14ac:dyDescent="0.2">
      <c r="A7" s="200" t="s">
        <v>523</v>
      </c>
      <c r="B7" s="123" t="s">
        <v>400</v>
      </c>
      <c r="C7" t="s">
        <v>538</v>
      </c>
    </row>
    <row r="8" spans="1:3" x14ac:dyDescent="0.2">
      <c r="A8" s="200" t="s">
        <v>20</v>
      </c>
      <c r="B8" s="123" t="s">
        <v>20</v>
      </c>
      <c r="C8" t="s">
        <v>20</v>
      </c>
    </row>
    <row r="9" spans="1:3" x14ac:dyDescent="0.2">
      <c r="A9" s="200" t="s">
        <v>524</v>
      </c>
      <c r="B9" s="123" t="s">
        <v>21</v>
      </c>
      <c r="C9" t="s">
        <v>552</v>
      </c>
    </row>
    <row r="10" spans="1:3" x14ac:dyDescent="0.2">
      <c r="A10" s="200" t="s">
        <v>525</v>
      </c>
      <c r="B10" s="123" t="s">
        <v>22</v>
      </c>
      <c r="C10" t="s">
        <v>539</v>
      </c>
    </row>
    <row r="11" spans="1:3" x14ac:dyDescent="0.2">
      <c r="A11" s="200" t="s">
        <v>526</v>
      </c>
      <c r="B11" s="123" t="s">
        <v>23</v>
      </c>
      <c r="C11" t="s">
        <v>540</v>
      </c>
    </row>
    <row r="12" spans="1:3" x14ac:dyDescent="0.2">
      <c r="A12" s="200" t="s">
        <v>527</v>
      </c>
      <c r="B12" s="123" t="s">
        <v>24</v>
      </c>
      <c r="C12" t="s">
        <v>541</v>
      </c>
    </row>
    <row r="13" spans="1:3" x14ac:dyDescent="0.2">
      <c r="A13" s="200" t="s">
        <v>528</v>
      </c>
      <c r="B13" s="123" t="s">
        <v>25</v>
      </c>
      <c r="C13" t="s">
        <v>553</v>
      </c>
    </row>
    <row r="14" spans="1:3" x14ac:dyDescent="0.2">
      <c r="A14" s="200" t="s">
        <v>447</v>
      </c>
      <c r="B14" s="123" t="s">
        <v>517</v>
      </c>
      <c r="C14" t="s">
        <v>542</v>
      </c>
    </row>
    <row r="15" spans="1:3" x14ac:dyDescent="0.2">
      <c r="A15" s="200" t="s">
        <v>452</v>
      </c>
      <c r="B15" s="123" t="s">
        <v>452</v>
      </c>
      <c r="C15" t="s">
        <v>543</v>
      </c>
    </row>
    <row r="16" spans="1:3" x14ac:dyDescent="0.2">
      <c r="A16" s="200" t="s">
        <v>391</v>
      </c>
      <c r="B16" s="123" t="s">
        <v>518</v>
      </c>
      <c r="C16" t="s">
        <v>544</v>
      </c>
    </row>
    <row r="17" spans="1:4" x14ac:dyDescent="0.2">
      <c r="A17" s="200" t="s">
        <v>26</v>
      </c>
      <c r="B17" s="123" t="s">
        <v>26</v>
      </c>
      <c r="C17" t="s">
        <v>545</v>
      </c>
    </row>
    <row r="18" spans="1:4" x14ac:dyDescent="0.2">
      <c r="A18" s="200" t="s">
        <v>3</v>
      </c>
      <c r="B18" s="123" t="s">
        <v>27</v>
      </c>
      <c r="C18" t="s">
        <v>546</v>
      </c>
    </row>
    <row r="19" spans="1:4" x14ac:dyDescent="0.2">
      <c r="A19" s="200" t="s">
        <v>28</v>
      </c>
      <c r="B19" s="123" t="s">
        <v>28</v>
      </c>
      <c r="C19" t="s">
        <v>547</v>
      </c>
    </row>
    <row r="20" spans="1:4" x14ac:dyDescent="0.2">
      <c r="A20" s="199" t="s">
        <v>29</v>
      </c>
      <c r="B20" s="230" t="s">
        <v>29</v>
      </c>
      <c r="C20" s="51" t="s">
        <v>548</v>
      </c>
      <c r="D20" s="51"/>
    </row>
    <row r="21" spans="1:4" x14ac:dyDescent="0.2">
      <c r="A21" s="200" t="s">
        <v>529</v>
      </c>
      <c r="B21" s="123" t="s">
        <v>30</v>
      </c>
      <c r="C21" s="40" t="s">
        <v>554</v>
      </c>
    </row>
    <row r="22" spans="1:4" x14ac:dyDescent="0.2">
      <c r="A22" s="200" t="s">
        <v>530</v>
      </c>
      <c r="B22" s="123" t="s">
        <v>31</v>
      </c>
      <c r="C22" s="40" t="s">
        <v>555</v>
      </c>
    </row>
    <row r="23" spans="1:4" x14ac:dyDescent="0.2">
      <c r="A23" s="200"/>
      <c r="B23" s="123"/>
      <c r="C23" s="40" t="s">
        <v>556</v>
      </c>
    </row>
    <row r="24" spans="1:4" x14ac:dyDescent="0.2">
      <c r="A24" s="200"/>
      <c r="B24" s="123"/>
      <c r="C24" s="40" t="s">
        <v>557</v>
      </c>
    </row>
    <row r="25" spans="1:4" x14ac:dyDescent="0.2">
      <c r="A25" s="200"/>
      <c r="B25" s="123"/>
      <c r="C25" s="232" t="s">
        <v>558</v>
      </c>
    </row>
    <row r="26" spans="1:4" x14ac:dyDescent="0.2">
      <c r="A26" s="199"/>
      <c r="B26" s="230"/>
      <c r="C26" s="51" t="s">
        <v>550</v>
      </c>
    </row>
    <row r="27" spans="1:4" x14ac:dyDescent="0.2">
      <c r="A27" s="200" t="s">
        <v>531</v>
      </c>
      <c r="B27" s="123" t="s">
        <v>32</v>
      </c>
      <c r="C27" t="s">
        <v>549</v>
      </c>
    </row>
    <row r="28" spans="1:4" x14ac:dyDescent="0.2">
      <c r="A28" s="200" t="s">
        <v>33</v>
      </c>
      <c r="B28" s="123" t="s">
        <v>33</v>
      </c>
      <c r="C28" t="s">
        <v>559</v>
      </c>
    </row>
    <row r="29" spans="1:4" x14ac:dyDescent="0.2">
      <c r="A29" s="200" t="s">
        <v>34</v>
      </c>
      <c r="B29" s="123" t="s">
        <v>34</v>
      </c>
      <c r="C29" t="s">
        <v>560</v>
      </c>
    </row>
    <row r="30" spans="1:4" x14ac:dyDescent="0.2">
      <c r="A30" s="200" t="s">
        <v>5</v>
      </c>
      <c r="B30" s="123" t="s">
        <v>35</v>
      </c>
      <c r="C30" t="s">
        <v>551</v>
      </c>
    </row>
    <row r="31" spans="1:4" x14ac:dyDescent="0.2">
      <c r="A31" s="200" t="s">
        <v>441</v>
      </c>
      <c r="B31" s="123" t="s">
        <v>519</v>
      </c>
      <c r="C31" t="s">
        <v>569</v>
      </c>
    </row>
    <row r="32" spans="1:4" x14ac:dyDescent="0.2">
      <c r="A32" s="200" t="s">
        <v>6</v>
      </c>
      <c r="B32" s="123" t="s">
        <v>36</v>
      </c>
      <c r="C32" t="s">
        <v>565</v>
      </c>
    </row>
    <row r="33" spans="1:3" x14ac:dyDescent="0.2">
      <c r="A33" s="200" t="s">
        <v>7</v>
      </c>
      <c r="B33" s="123" t="s">
        <v>37</v>
      </c>
      <c r="C33" t="s">
        <v>563</v>
      </c>
    </row>
    <row r="34" spans="1:3" x14ac:dyDescent="0.2">
      <c r="A34" s="200" t="s">
        <v>8</v>
      </c>
      <c r="B34" s="123" t="s">
        <v>38</v>
      </c>
      <c r="C34" t="s">
        <v>566</v>
      </c>
    </row>
    <row r="35" spans="1:3" x14ac:dyDescent="0.2">
      <c r="A35" s="200" t="s">
        <v>9</v>
      </c>
      <c r="B35" s="123" t="s">
        <v>39</v>
      </c>
      <c r="C35" t="s">
        <v>561</v>
      </c>
    </row>
    <row r="36" spans="1:3" x14ac:dyDescent="0.2">
      <c r="A36" s="200" t="s">
        <v>10</v>
      </c>
      <c r="B36" s="123" t="s">
        <v>40</v>
      </c>
      <c r="C36" t="s">
        <v>568</v>
      </c>
    </row>
    <row r="37" spans="1:3" x14ac:dyDescent="0.2">
      <c r="A37" s="200" t="s">
        <v>11</v>
      </c>
      <c r="B37" s="123" t="s">
        <v>41</v>
      </c>
      <c r="C37" t="s">
        <v>562</v>
      </c>
    </row>
    <row r="38" spans="1:3" x14ac:dyDescent="0.2">
      <c r="A38" s="200" t="s">
        <v>12</v>
      </c>
      <c r="B38" s="123" t="s">
        <v>42</v>
      </c>
      <c r="C38" t="s">
        <v>567</v>
      </c>
    </row>
    <row r="39" spans="1:3" x14ac:dyDescent="0.2">
      <c r="A39" s="200" t="s">
        <v>13</v>
      </c>
      <c r="B39" s="123" t="s">
        <v>43</v>
      </c>
      <c r="C39" t="s">
        <v>564</v>
      </c>
    </row>
    <row r="40" spans="1:3" x14ac:dyDescent="0.2">
      <c r="A40" s="199" t="s">
        <v>14</v>
      </c>
      <c r="B40" s="230" t="s">
        <v>14</v>
      </c>
      <c r="C40" s="51" t="s">
        <v>549</v>
      </c>
    </row>
  </sheetData>
  <mergeCells count="1">
    <mergeCell ref="C1:C2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CF6F9-8BDC-EA46-81C0-AB7A1ADF54B0}">
  <dimension ref="A1:V40"/>
  <sheetViews>
    <sheetView topLeftCell="A11" zoomScale="120" zoomScaleNormal="120" workbookViewId="0">
      <selection activeCell="P33" sqref="P33"/>
    </sheetView>
  </sheetViews>
  <sheetFormatPr baseColWidth="10" defaultRowHeight="16" x14ac:dyDescent="0.2"/>
  <cols>
    <col min="1" max="1" width="13.33203125" bestFit="1" customWidth="1"/>
    <col min="2" max="2" width="15.5" bestFit="1" customWidth="1"/>
    <col min="3" max="3" width="3.1640625" bestFit="1" customWidth="1"/>
    <col min="4" max="4" width="6.83203125" bestFit="1" customWidth="1"/>
    <col min="5" max="5" width="10.83203125" bestFit="1" customWidth="1"/>
    <col min="6" max="6" width="4.1640625" bestFit="1" customWidth="1"/>
    <col min="7" max="7" width="6.83203125" bestFit="1" customWidth="1"/>
    <col min="8" max="8" width="10.83203125" bestFit="1" customWidth="1"/>
    <col min="9" max="9" width="10.83203125" customWidth="1"/>
    <col min="10" max="10" width="24.5" bestFit="1" customWidth="1"/>
    <col min="11" max="11" width="24.5" customWidth="1"/>
    <col min="12" max="12" width="10.5" bestFit="1" customWidth="1"/>
    <col min="13" max="13" width="10.5" customWidth="1"/>
    <col min="14" max="14" width="24.5" bestFit="1" customWidth="1"/>
    <col min="15" max="15" width="24.5" customWidth="1"/>
    <col min="16" max="16" width="12" bestFit="1" customWidth="1"/>
    <col min="17" max="17" width="26" bestFit="1" customWidth="1"/>
    <col min="18" max="18" width="15.1640625" bestFit="1" customWidth="1"/>
    <col min="19" max="19" width="29.33203125" bestFit="1" customWidth="1"/>
  </cols>
  <sheetData>
    <row r="1" spans="1:18" x14ac:dyDescent="0.2">
      <c r="A1" s="48" t="s">
        <v>2</v>
      </c>
      <c r="B1" t="s">
        <v>81</v>
      </c>
    </row>
    <row r="3" spans="1:18" x14ac:dyDescent="0.2">
      <c r="A3" s="48" t="s">
        <v>360</v>
      </c>
      <c r="B3" s="48" t="s">
        <v>361</v>
      </c>
    </row>
    <row r="4" spans="1:18" x14ac:dyDescent="0.2">
      <c r="B4" t="s">
        <v>58</v>
      </c>
      <c r="D4" t="s">
        <v>578</v>
      </c>
      <c r="E4" t="s">
        <v>365</v>
      </c>
    </row>
    <row r="5" spans="1:18" x14ac:dyDescent="0.2">
      <c r="A5" s="48" t="s">
        <v>362</v>
      </c>
      <c r="B5" t="s">
        <v>58</v>
      </c>
      <c r="C5" t="s">
        <v>46</v>
      </c>
      <c r="Q5">
        <v>44</v>
      </c>
      <c r="R5">
        <v>100</v>
      </c>
    </row>
    <row r="6" spans="1:18" x14ac:dyDescent="0.2">
      <c r="A6" s="45" t="s">
        <v>57</v>
      </c>
      <c r="B6" s="46">
        <v>2</v>
      </c>
      <c r="C6" s="46"/>
      <c r="D6" s="46">
        <v>2</v>
      </c>
      <c r="E6" s="46">
        <v>2</v>
      </c>
      <c r="Q6">
        <v>5</v>
      </c>
      <c r="R6">
        <f>5*100/44</f>
        <v>11.363636363636363</v>
      </c>
    </row>
    <row r="7" spans="1:18" x14ac:dyDescent="0.2">
      <c r="A7" s="47">
        <v>50</v>
      </c>
      <c r="B7" s="46">
        <v>2</v>
      </c>
      <c r="C7" s="46"/>
      <c r="D7" s="46">
        <v>2</v>
      </c>
      <c r="E7" s="46">
        <v>2</v>
      </c>
    </row>
    <row r="8" spans="1:18" x14ac:dyDescent="0.2">
      <c r="A8" s="45" t="s">
        <v>68</v>
      </c>
      <c r="B8" s="46">
        <v>2</v>
      </c>
      <c r="C8" s="46">
        <v>4</v>
      </c>
      <c r="D8" s="46">
        <v>6</v>
      </c>
      <c r="E8" s="46">
        <v>6</v>
      </c>
    </row>
    <row r="9" spans="1:18" x14ac:dyDescent="0.2">
      <c r="A9" s="47">
        <v>1</v>
      </c>
      <c r="B9" s="46">
        <v>2</v>
      </c>
      <c r="C9" s="46">
        <v>4</v>
      </c>
      <c r="D9" s="46">
        <v>6</v>
      </c>
      <c r="E9" s="46">
        <v>6</v>
      </c>
    </row>
    <row r="10" spans="1:18" x14ac:dyDescent="0.2">
      <c r="A10" s="45" t="s">
        <v>44</v>
      </c>
      <c r="B10" s="46"/>
      <c r="C10" s="46">
        <v>1</v>
      </c>
      <c r="D10" s="46">
        <v>1</v>
      </c>
      <c r="E10" s="46">
        <v>1</v>
      </c>
    </row>
    <row r="11" spans="1:18" x14ac:dyDescent="0.2">
      <c r="A11" s="47">
        <v>50</v>
      </c>
      <c r="B11" s="46"/>
      <c r="C11" s="46">
        <v>1</v>
      </c>
      <c r="D11" s="46">
        <v>1</v>
      </c>
      <c r="E11" s="46">
        <v>1</v>
      </c>
    </row>
    <row r="12" spans="1:18" x14ac:dyDescent="0.2">
      <c r="A12" s="45" t="s">
        <v>60</v>
      </c>
      <c r="B12" s="46"/>
      <c r="C12" s="46">
        <v>1</v>
      </c>
      <c r="D12" s="46">
        <v>1</v>
      </c>
      <c r="E12" s="46">
        <v>1</v>
      </c>
    </row>
    <row r="13" spans="1:18" x14ac:dyDescent="0.2">
      <c r="A13" s="47">
        <v>1</v>
      </c>
      <c r="B13" s="46"/>
      <c r="C13" s="46">
        <v>1</v>
      </c>
      <c r="D13" s="46">
        <v>1</v>
      </c>
      <c r="E13" s="46">
        <v>1</v>
      </c>
    </row>
    <row r="14" spans="1:18" x14ac:dyDescent="0.2">
      <c r="A14" s="45" t="s">
        <v>64</v>
      </c>
      <c r="B14" s="46">
        <v>1</v>
      </c>
      <c r="C14" s="46">
        <v>2</v>
      </c>
      <c r="D14" s="46">
        <v>3</v>
      </c>
      <c r="E14" s="46">
        <v>3</v>
      </c>
    </row>
    <row r="15" spans="1:18" x14ac:dyDescent="0.2">
      <c r="A15" s="47">
        <v>1</v>
      </c>
      <c r="B15" s="46">
        <v>1</v>
      </c>
      <c r="C15" s="46">
        <v>1</v>
      </c>
      <c r="D15" s="46">
        <v>2</v>
      </c>
      <c r="E15" s="46">
        <v>2</v>
      </c>
    </row>
    <row r="16" spans="1:18" x14ac:dyDescent="0.2">
      <c r="A16" s="47">
        <v>50</v>
      </c>
      <c r="B16" s="46"/>
      <c r="C16" s="46">
        <v>1</v>
      </c>
      <c r="D16" s="46">
        <v>1</v>
      </c>
      <c r="E16" s="46">
        <v>1</v>
      </c>
    </row>
    <row r="17" spans="1:22" x14ac:dyDescent="0.2">
      <c r="A17" s="45" t="s">
        <v>70</v>
      </c>
      <c r="B17" s="46"/>
      <c r="C17" s="46">
        <v>2</v>
      </c>
      <c r="D17" s="46">
        <v>2</v>
      </c>
      <c r="E17" s="46">
        <v>2</v>
      </c>
    </row>
    <row r="18" spans="1:22" x14ac:dyDescent="0.2">
      <c r="A18" s="47">
        <v>50</v>
      </c>
      <c r="B18" s="46"/>
      <c r="C18" s="46">
        <v>2</v>
      </c>
      <c r="D18" s="46">
        <v>2</v>
      </c>
      <c r="E18" s="46">
        <v>2</v>
      </c>
    </row>
    <row r="19" spans="1:22" x14ac:dyDescent="0.2">
      <c r="A19" s="45" t="s">
        <v>47</v>
      </c>
      <c r="B19" s="46">
        <v>6</v>
      </c>
      <c r="C19" s="46">
        <v>18</v>
      </c>
      <c r="D19" s="46">
        <v>24</v>
      </c>
      <c r="E19" s="46">
        <v>24</v>
      </c>
    </row>
    <row r="20" spans="1:22" x14ac:dyDescent="0.2">
      <c r="A20" s="47">
        <v>1</v>
      </c>
      <c r="B20" s="46">
        <v>4</v>
      </c>
      <c r="C20" s="46">
        <v>10</v>
      </c>
      <c r="D20" s="46">
        <v>14</v>
      </c>
      <c r="E20" s="46">
        <v>14</v>
      </c>
    </row>
    <row r="21" spans="1:22" x14ac:dyDescent="0.2">
      <c r="A21" s="47">
        <v>50</v>
      </c>
      <c r="B21" s="46">
        <v>2</v>
      </c>
      <c r="C21" s="46">
        <v>8</v>
      </c>
      <c r="D21" s="46">
        <v>10</v>
      </c>
      <c r="E21" s="46">
        <v>10</v>
      </c>
    </row>
    <row r="22" spans="1:22" x14ac:dyDescent="0.2">
      <c r="A22" s="45" t="s">
        <v>365</v>
      </c>
      <c r="B22" s="46">
        <v>11</v>
      </c>
      <c r="C22" s="46">
        <v>28</v>
      </c>
      <c r="D22" s="46">
        <v>39</v>
      </c>
      <c r="E22" s="46">
        <v>39</v>
      </c>
    </row>
    <row r="26" spans="1:22" ht="32" x14ac:dyDescent="0.2">
      <c r="H26" s="233" t="s">
        <v>579</v>
      </c>
      <c r="I26" s="241"/>
      <c r="J26" s="262" t="s">
        <v>580</v>
      </c>
      <c r="K26" s="262"/>
      <c r="L26" s="263"/>
      <c r="M26" s="247"/>
      <c r="N26" s="264" t="s">
        <v>581</v>
      </c>
      <c r="O26" s="264"/>
      <c r="P26" s="264"/>
    </row>
    <row r="27" spans="1:22" ht="17" thickBot="1" x14ac:dyDescent="0.25">
      <c r="H27" s="235"/>
      <c r="I27" s="245"/>
      <c r="J27" s="265" t="s">
        <v>582</v>
      </c>
      <c r="K27" s="265"/>
      <c r="L27" s="266"/>
      <c r="M27" s="236"/>
      <c r="N27" s="265" t="s">
        <v>583</v>
      </c>
      <c r="O27" s="265"/>
      <c r="P27" s="265"/>
    </row>
    <row r="28" spans="1:22" x14ac:dyDescent="0.2">
      <c r="H28" s="233" t="s">
        <v>584</v>
      </c>
      <c r="I28" s="246"/>
      <c r="J28" s="247" t="s">
        <v>580</v>
      </c>
      <c r="K28" s="247"/>
      <c r="L28" s="248" t="s">
        <v>581</v>
      </c>
      <c r="M28" s="247"/>
      <c r="N28" s="234" t="s">
        <v>580</v>
      </c>
      <c r="O28" s="234"/>
      <c r="P28" s="234" t="s">
        <v>581</v>
      </c>
    </row>
    <row r="29" spans="1:22" ht="33" thickBot="1" x14ac:dyDescent="0.25">
      <c r="H29" s="235"/>
      <c r="I29" s="245"/>
      <c r="J29" s="235" t="s">
        <v>585</v>
      </c>
      <c r="K29" s="235"/>
      <c r="L29" s="249" t="s">
        <v>586</v>
      </c>
      <c r="M29" s="235"/>
      <c r="N29" s="235" t="s">
        <v>587</v>
      </c>
      <c r="O29" s="235"/>
      <c r="P29" s="235" t="s">
        <v>588</v>
      </c>
      <c r="U29">
        <v>96</v>
      </c>
      <c r="V29" s="240">
        <v>1</v>
      </c>
    </row>
    <row r="30" spans="1:22" ht="33" thickBot="1" x14ac:dyDescent="0.25">
      <c r="H30" s="235" t="s">
        <v>589</v>
      </c>
      <c r="I30" s="246"/>
      <c r="J30" s="235" t="s">
        <v>590</v>
      </c>
      <c r="K30" s="242"/>
      <c r="L30" s="249" t="s">
        <v>591</v>
      </c>
      <c r="M30" s="242"/>
      <c r="N30" s="235" t="s">
        <v>592</v>
      </c>
      <c r="O30" s="242"/>
      <c r="P30" s="235" t="s">
        <v>593</v>
      </c>
      <c r="U30">
        <v>5</v>
      </c>
      <c r="V30">
        <f>5*96/100</f>
        <v>4.8</v>
      </c>
    </row>
    <row r="31" spans="1:22" ht="64" x14ac:dyDescent="0.2">
      <c r="H31" s="237" t="s">
        <v>594</v>
      </c>
      <c r="I31" s="260" t="s">
        <v>610</v>
      </c>
      <c r="J31" s="242"/>
      <c r="K31" s="260" t="s">
        <v>611</v>
      </c>
      <c r="L31" s="250"/>
      <c r="M31" s="260" t="s">
        <v>610</v>
      </c>
      <c r="N31" s="233"/>
      <c r="O31" s="260" t="s">
        <v>611</v>
      </c>
      <c r="P31" s="233"/>
    </row>
    <row r="32" spans="1:22" x14ac:dyDescent="0.2">
      <c r="H32" s="253" t="s">
        <v>595</v>
      </c>
      <c r="I32" s="254" t="s">
        <v>608</v>
      </c>
      <c r="J32" s="242" t="s">
        <v>612</v>
      </c>
      <c r="K32" s="257">
        <v>38</v>
      </c>
      <c r="L32" s="250" t="s">
        <v>614</v>
      </c>
      <c r="M32" s="257">
        <v>31</v>
      </c>
      <c r="N32" s="233" t="s">
        <v>616</v>
      </c>
      <c r="O32" s="257">
        <v>40</v>
      </c>
      <c r="P32" s="233" t="s">
        <v>618</v>
      </c>
    </row>
    <row r="33" spans="8:21" ht="33" thickBot="1" x14ac:dyDescent="0.25">
      <c r="H33" s="255" t="s">
        <v>600</v>
      </c>
      <c r="I33" s="256" t="s">
        <v>609</v>
      </c>
      <c r="J33" s="235" t="s">
        <v>613</v>
      </c>
      <c r="K33" s="259">
        <v>49</v>
      </c>
      <c r="L33" s="249" t="s">
        <v>615</v>
      </c>
      <c r="M33" s="258">
        <v>45</v>
      </c>
      <c r="N33" s="235" t="s">
        <v>617</v>
      </c>
      <c r="O33" s="259">
        <v>31</v>
      </c>
      <c r="P33" s="235" t="s">
        <v>619</v>
      </c>
    </row>
    <row r="34" spans="8:21" ht="48" x14ac:dyDescent="0.2">
      <c r="H34" s="237" t="s">
        <v>605</v>
      </c>
      <c r="I34" s="243"/>
      <c r="J34" s="242"/>
      <c r="K34" s="244"/>
      <c r="L34" s="250"/>
      <c r="M34" s="244"/>
      <c r="N34" s="233"/>
      <c r="O34" s="244"/>
      <c r="P34" s="233"/>
    </row>
    <row r="35" spans="8:21" x14ac:dyDescent="0.2">
      <c r="H35" s="253" t="s">
        <v>595</v>
      </c>
      <c r="I35" s="254" t="s">
        <v>607</v>
      </c>
      <c r="J35" s="242" t="s">
        <v>596</v>
      </c>
      <c r="K35" s="257">
        <v>49</v>
      </c>
      <c r="L35" s="250" t="s">
        <v>597</v>
      </c>
      <c r="M35" s="257">
        <v>49</v>
      </c>
      <c r="N35" s="233" t="s">
        <v>598</v>
      </c>
      <c r="O35" s="257">
        <v>58</v>
      </c>
      <c r="P35" s="233" t="s">
        <v>599</v>
      </c>
      <c r="R35">
        <v>5</v>
      </c>
      <c r="S35" s="239">
        <v>6.7000000000000004E-2</v>
      </c>
    </row>
    <row r="36" spans="8:21" ht="33" thickBot="1" x14ac:dyDescent="0.25">
      <c r="H36" s="255" t="s">
        <v>600</v>
      </c>
      <c r="I36" s="256" t="s">
        <v>606</v>
      </c>
      <c r="J36" s="251" t="s">
        <v>601</v>
      </c>
      <c r="K36" s="258">
        <v>63</v>
      </c>
      <c r="L36" s="252" t="s">
        <v>602</v>
      </c>
      <c r="M36" s="258">
        <v>58</v>
      </c>
      <c r="N36" s="235" t="s">
        <v>603</v>
      </c>
      <c r="O36" s="258">
        <v>54</v>
      </c>
      <c r="P36" s="235" t="s">
        <v>604</v>
      </c>
      <c r="S36" s="238">
        <v>100</v>
      </c>
      <c r="U36">
        <f>100*5/6.7</f>
        <v>74.626865671641795</v>
      </c>
    </row>
    <row r="38" spans="8:21" x14ac:dyDescent="0.2">
      <c r="I38" s="142"/>
    </row>
    <row r="39" spans="8:21" x14ac:dyDescent="0.2">
      <c r="H39">
        <v>31</v>
      </c>
      <c r="I39" s="142">
        <v>1</v>
      </c>
    </row>
    <row r="40" spans="8:21" x14ac:dyDescent="0.2">
      <c r="H40">
        <v>10</v>
      </c>
      <c r="I40" s="52">
        <f>H40*I39/H39</f>
        <v>0.32258064516129031</v>
      </c>
    </row>
  </sheetData>
  <mergeCells count="4">
    <mergeCell ref="J26:L26"/>
    <mergeCell ref="N26:P26"/>
    <mergeCell ref="J27:L27"/>
    <mergeCell ref="N27:P27"/>
  </mergeCells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85"/>
  <sheetViews>
    <sheetView workbookViewId="0">
      <selection activeCell="I36" sqref="I36"/>
    </sheetView>
  </sheetViews>
  <sheetFormatPr baseColWidth="10" defaultRowHeight="16" x14ac:dyDescent="0.2"/>
  <cols>
    <col min="1" max="1" width="12.83203125" customWidth="1"/>
    <col min="2" max="2" width="15.5" customWidth="1"/>
    <col min="3" max="3" width="6" bestFit="1" customWidth="1"/>
    <col min="4" max="4" width="10.6640625" customWidth="1"/>
    <col min="5" max="6" width="10.6640625" bestFit="1" customWidth="1"/>
    <col min="7" max="7" width="15.33203125" customWidth="1"/>
    <col min="8" max="8" width="11.6640625" bestFit="1" customWidth="1"/>
    <col min="9" max="9" width="15.33203125" customWidth="1"/>
    <col min="10" max="10" width="15.1640625" customWidth="1"/>
    <col min="11" max="11" width="19.83203125" customWidth="1"/>
    <col min="12" max="12" width="3.1640625" customWidth="1"/>
    <col min="13" max="13" width="7.33203125" customWidth="1"/>
    <col min="14" max="14" width="10.6640625" customWidth="1"/>
    <col min="15" max="15" width="12.83203125" customWidth="1"/>
    <col min="16" max="16" width="15.5" bestFit="1" customWidth="1"/>
    <col min="17" max="17" width="4.33203125" customWidth="1"/>
    <col min="18" max="18" width="10.6640625" customWidth="1"/>
    <col min="19" max="19" width="15.33203125" bestFit="1" customWidth="1"/>
    <col min="20" max="20" width="15.1640625" bestFit="1" customWidth="1"/>
    <col min="21" max="21" width="19.83203125" bestFit="1" customWidth="1"/>
  </cols>
  <sheetData>
    <row r="1" spans="1:20" x14ac:dyDescent="0.2">
      <c r="A1" s="48" t="s">
        <v>360</v>
      </c>
      <c r="B1" s="48" t="s">
        <v>371</v>
      </c>
    </row>
    <row r="2" spans="1:20" x14ac:dyDescent="0.2">
      <c r="A2" s="48" t="s">
        <v>372</v>
      </c>
      <c r="B2">
        <v>0</v>
      </c>
      <c r="C2" s="44" t="s">
        <v>50</v>
      </c>
      <c r="D2" s="44" t="s">
        <v>78</v>
      </c>
      <c r="E2" s="44" t="s">
        <v>49</v>
      </c>
      <c r="F2" t="s">
        <v>365</v>
      </c>
      <c r="G2" s="135" t="s">
        <v>391</v>
      </c>
      <c r="H2" s="136" t="s">
        <v>447</v>
      </c>
      <c r="I2" s="137" t="s">
        <v>448</v>
      </c>
    </row>
    <row r="3" spans="1:20" x14ac:dyDescent="0.2">
      <c r="A3" s="45" t="s">
        <v>58</v>
      </c>
      <c r="B3" s="46"/>
      <c r="C3" s="46"/>
      <c r="D3" s="46"/>
      <c r="E3" s="46"/>
      <c r="F3" s="46"/>
      <c r="G3" s="201">
        <f>(42+47)/(129+119)</f>
        <v>0.3588709677419355</v>
      </c>
      <c r="H3" s="177">
        <f>GETPIVOTDATA("no",$A$1,"sex (K/M)","K","3x orzeł (H)/reszka (T)?","H","to za 4tym: H/T/B/0","T")/GETPIVOTDATA("no",$A$1,"sex (K/M)","K","3x orzeł (H)/reszka (T)?","H")</f>
        <v>0.41085271317829458</v>
      </c>
      <c r="I3" s="178">
        <f>GETPIVOTDATA("no",$A$1,"sex (K/M)","K","3x orzeł (H)/reszka (T)?","H","to za 4tym: H/T/B/0","H")/GETPIVOTDATA("no",$A$1,"sex (K/M)","K","3x orzeł (H)/reszka (T)?","H")</f>
        <v>0.24031007751937986</v>
      </c>
      <c r="J3" s="273" t="s">
        <v>439</v>
      </c>
      <c r="O3" s="49" t="s">
        <v>570</v>
      </c>
      <c r="P3" s="49"/>
    </row>
    <row r="4" spans="1:20" x14ac:dyDescent="0.2">
      <c r="A4" s="47" t="s">
        <v>78</v>
      </c>
      <c r="B4" s="46">
        <v>3</v>
      </c>
      <c r="C4" s="46">
        <v>42</v>
      </c>
      <c r="D4" s="46">
        <v>31</v>
      </c>
      <c r="E4" s="46">
        <v>53</v>
      </c>
      <c r="F4" s="46">
        <v>129</v>
      </c>
      <c r="G4" s="202"/>
      <c r="H4" s="179">
        <f>GETPIVOTDATA("no",$A$1,"sex (K/M)","K","3x orzeł (H)/reszka (T)?","T","to za 4tym: H/T/B/0","H")/GETPIVOTDATA("no",$A$1,"sex (K/M)","K","3x orzeł (H)/reszka (T)?","T")</f>
        <v>0.38655462184873951</v>
      </c>
      <c r="I4" s="185">
        <f>GETPIVOTDATA("no",$A$1,"sex (K/M)","K","3x orzeł (H)/reszka (T)?","T","to za 4tym: H/T/B/0","T")/GETPIVOTDATA("no",$A$1,"sex (K/M)","K","3x orzeł (H)/reszka (T)?","T")</f>
        <v>0.20168067226890757</v>
      </c>
      <c r="J4" s="274"/>
      <c r="O4" s="48" t="s">
        <v>360</v>
      </c>
      <c r="P4" s="48" t="s">
        <v>361</v>
      </c>
    </row>
    <row r="5" spans="1:20" x14ac:dyDescent="0.2">
      <c r="A5" s="47" t="s">
        <v>49</v>
      </c>
      <c r="B5" s="46">
        <v>2</v>
      </c>
      <c r="C5" s="46">
        <v>47</v>
      </c>
      <c r="D5" s="46">
        <v>46</v>
      </c>
      <c r="E5" s="46">
        <v>24</v>
      </c>
      <c r="F5" s="46">
        <v>119</v>
      </c>
      <c r="G5" s="203"/>
      <c r="H5" s="181">
        <f>AVERAGE(H3:H4)</f>
        <v>0.39870366751351705</v>
      </c>
      <c r="I5" s="182">
        <f>AVERAGE(I3:I4)</f>
        <v>0.22099537489414373</v>
      </c>
      <c r="J5" s="275"/>
      <c r="K5" s="62"/>
      <c r="O5" s="48" t="s">
        <v>362</v>
      </c>
      <c r="P5" t="s">
        <v>48</v>
      </c>
      <c r="Q5" t="s">
        <v>81</v>
      </c>
      <c r="R5" t="s">
        <v>365</v>
      </c>
      <c r="S5" s="140" t="s">
        <v>392</v>
      </c>
    </row>
    <row r="6" spans="1:20" x14ac:dyDescent="0.2">
      <c r="A6" s="45" t="s">
        <v>46</v>
      </c>
      <c r="B6" s="46"/>
      <c r="C6" s="46"/>
      <c r="D6" s="46"/>
      <c r="E6" s="46"/>
      <c r="F6" s="46"/>
      <c r="G6" s="204">
        <f>(64+62)/(105+119)</f>
        <v>0.5625</v>
      </c>
      <c r="H6" s="183">
        <f>GETPIVOTDATA("no",$A$1,"sex (K/M)","M","3x orzeł (H)/reszka (T)?","H","to za 4tym: H/T/B/0","T")/GETPIVOTDATA("no",$A$1,"sex (K/M)","M","3x orzeł (H)/reszka (T)?","H")</f>
        <v>0.24761904761904763</v>
      </c>
      <c r="I6" s="184">
        <f>GETPIVOTDATA("no",$A$1,"sex (K/M)","M","3x orzeł (H)/reszka (T)?","H","to za 4tym: H/T/B/0","H")/GETPIVOTDATA("no",$A$1,"sex (K/M)","M","3x orzeł (H)/reszka (T)?","H")</f>
        <v>0.11428571428571428</v>
      </c>
      <c r="J6" s="270" t="s">
        <v>440</v>
      </c>
      <c r="O6" s="45">
        <v>1</v>
      </c>
      <c r="P6" s="46">
        <v>194</v>
      </c>
      <c r="Q6" s="46">
        <v>47</v>
      </c>
      <c r="R6" s="46">
        <v>241</v>
      </c>
      <c r="S6" s="175">
        <f>GETPIVOTDATA("no",$O$4,"dostanie 50gr/1zł ?",1,"wziął 50gr/1zł?","TAK")/GETPIVOTDATA("no",$O$4,"dostanie 50gr/1zł ?",1)</f>
        <v>0.19502074688796681</v>
      </c>
    </row>
    <row r="7" spans="1:20" x14ac:dyDescent="0.2">
      <c r="A7" s="47" t="s">
        <v>78</v>
      </c>
      <c r="B7" s="46">
        <v>3</v>
      </c>
      <c r="C7" s="46">
        <v>64</v>
      </c>
      <c r="D7" s="46">
        <v>12</v>
      </c>
      <c r="E7" s="46">
        <v>26</v>
      </c>
      <c r="F7" s="46">
        <v>105</v>
      </c>
      <c r="G7" s="202"/>
      <c r="H7" s="179">
        <f>GETPIVOTDATA("no",$A$1,"sex (K/M)","M","3x orzeł (H)/reszka (T)?","T","to za 4tym: H/T/B/0","H")/GETPIVOTDATA("no",$A$1,"sex (K/M)","M","3x orzeł (H)/reszka (T)?","T")</f>
        <v>0.27731092436974791</v>
      </c>
      <c r="I7" s="185">
        <f>GETPIVOTDATA("no",$A$1,"sex (K/M)","M","3x orzeł (H)/reszka (T)?","T","to za 4tym: H/T/B/0","T")/GETPIVOTDATA("no",$A$1,"sex (K/M)","M","3x orzeł (H)/reszka (T)?","T")</f>
        <v>0.18487394957983194</v>
      </c>
      <c r="J7" s="271"/>
      <c r="O7" s="45">
        <v>50</v>
      </c>
      <c r="P7" s="46">
        <v>202</v>
      </c>
      <c r="Q7" s="46">
        <v>29</v>
      </c>
      <c r="R7" s="46">
        <v>231</v>
      </c>
      <c r="S7" s="175">
        <f>GETPIVOTDATA("no",$O$4,"dostanie 50gr/1zł ?",50,"wziął 50gr/1zł?","TAK")/GETPIVOTDATA("no",$O$4,"dostanie 50gr/1zł ?",50)</f>
        <v>0.12554112554112554</v>
      </c>
    </row>
    <row r="8" spans="1:20" x14ac:dyDescent="0.2">
      <c r="A8" s="47" t="s">
        <v>49</v>
      </c>
      <c r="B8" s="46">
        <v>2</v>
      </c>
      <c r="C8" s="46">
        <v>62</v>
      </c>
      <c r="D8" s="46">
        <v>33</v>
      </c>
      <c r="E8" s="46">
        <v>22</v>
      </c>
      <c r="F8" s="46">
        <v>119</v>
      </c>
      <c r="G8" s="203"/>
      <c r="H8" s="181">
        <f>AVERAGE(H6:H7)</f>
        <v>0.26246498599439777</v>
      </c>
      <c r="I8" s="182">
        <f>AVERAGE(I6:I7)</f>
        <v>0.14957983193277311</v>
      </c>
      <c r="J8" s="271"/>
      <c r="O8" s="45" t="s">
        <v>365</v>
      </c>
      <c r="P8" s="46">
        <v>396</v>
      </c>
      <c r="Q8" s="46">
        <v>76</v>
      </c>
      <c r="R8" s="46">
        <v>472</v>
      </c>
    </row>
    <row r="9" spans="1:20" x14ac:dyDescent="0.2">
      <c r="A9" s="47" t="s">
        <v>393</v>
      </c>
      <c r="B9" s="46">
        <v>6</v>
      </c>
      <c r="C9" s="46">
        <v>106</v>
      </c>
      <c r="D9" s="46">
        <v>43</v>
      </c>
      <c r="E9" s="46">
        <v>79</v>
      </c>
      <c r="F9" s="46">
        <v>234</v>
      </c>
    </row>
    <row r="10" spans="1:20" x14ac:dyDescent="0.2">
      <c r="A10" s="47" t="s">
        <v>394</v>
      </c>
      <c r="B10" s="46">
        <v>4</v>
      </c>
      <c r="C10" s="46">
        <v>109</v>
      </c>
      <c r="D10" s="46">
        <v>79</v>
      </c>
      <c r="E10" s="46">
        <v>46</v>
      </c>
      <c r="F10" s="46">
        <v>238</v>
      </c>
    </row>
    <row r="11" spans="1:20" x14ac:dyDescent="0.2">
      <c r="A11" s="45" t="s">
        <v>365</v>
      </c>
      <c r="B11" s="46">
        <v>10</v>
      </c>
      <c r="C11" s="46">
        <v>215</v>
      </c>
      <c r="D11" s="46">
        <v>122</v>
      </c>
      <c r="E11" s="46">
        <v>125</v>
      </c>
      <c r="F11" s="46">
        <v>472</v>
      </c>
    </row>
    <row r="12" spans="1:20" x14ac:dyDescent="0.2">
      <c r="O12" s="49" t="s">
        <v>571</v>
      </c>
      <c r="P12" s="50"/>
      <c r="Q12" s="50"/>
      <c r="R12" s="50"/>
    </row>
    <row r="13" spans="1:20" x14ac:dyDescent="0.2">
      <c r="O13" s="48" t="s">
        <v>360</v>
      </c>
      <c r="P13" s="48" t="s">
        <v>361</v>
      </c>
    </row>
    <row r="14" spans="1:20" x14ac:dyDescent="0.2">
      <c r="O14" s="48" t="s">
        <v>362</v>
      </c>
      <c r="P14" t="s">
        <v>48</v>
      </c>
      <c r="Q14" t="s">
        <v>81</v>
      </c>
      <c r="R14" t="s">
        <v>365</v>
      </c>
      <c r="S14" s="140" t="s">
        <v>392</v>
      </c>
    </row>
    <row r="15" spans="1:20" x14ac:dyDescent="0.2">
      <c r="O15" s="45" t="s">
        <v>53</v>
      </c>
      <c r="P15" s="46">
        <v>216</v>
      </c>
      <c r="Q15" s="46">
        <v>37</v>
      </c>
      <c r="R15" s="46">
        <v>253</v>
      </c>
    </row>
    <row r="16" spans="1:20" x14ac:dyDescent="0.2">
      <c r="O16" s="47">
        <v>1</v>
      </c>
      <c r="P16" s="46">
        <v>105</v>
      </c>
      <c r="Q16" s="46">
        <v>24</v>
      </c>
      <c r="R16" s="46">
        <v>129</v>
      </c>
      <c r="S16" s="52">
        <f>GETPIVOTDATA("no",$O$13,"dostanie 50gr/1zł ?",1,"wziął 50gr/1zł?","TAK","ankieter","A")/GETPIVOTDATA("no",$O$13,"dostanie 50gr/1zł ?",1,"ankieter","A")</f>
        <v>0.18604651162790697</v>
      </c>
      <c r="T16" s="269" t="s">
        <v>572</v>
      </c>
    </row>
    <row r="17" spans="1:20" ht="21" x14ac:dyDescent="0.25">
      <c r="A17" s="48" t="s">
        <v>360</v>
      </c>
      <c r="B17" s="48" t="s">
        <v>371</v>
      </c>
      <c r="G17" s="261" t="s">
        <v>620</v>
      </c>
      <c r="O17" s="47">
        <v>50</v>
      </c>
      <c r="P17" s="46">
        <v>111</v>
      </c>
      <c r="Q17" s="46">
        <v>13</v>
      </c>
      <c r="R17" s="46">
        <v>124</v>
      </c>
      <c r="S17" s="52">
        <f>GETPIVOTDATA("no",$O$13,"dostanie 50gr/1zł ?",50,"wziął 50gr/1zł?","TAK","ankieter","A")/GETPIVOTDATA("no",$O$13,"dostanie 50gr/1zł ?",50,"ankieter","A")</f>
        <v>0.10483870967741936</v>
      </c>
      <c r="T17" s="269"/>
    </row>
    <row r="18" spans="1:20" x14ac:dyDescent="0.2">
      <c r="A18" s="48" t="s">
        <v>372</v>
      </c>
      <c r="B18" s="44" t="s">
        <v>50</v>
      </c>
      <c r="C18" s="44" t="s">
        <v>78</v>
      </c>
      <c r="D18" s="44" t="s">
        <v>49</v>
      </c>
      <c r="E18" t="s">
        <v>365</v>
      </c>
      <c r="O18" s="45" t="s">
        <v>58</v>
      </c>
      <c r="P18" s="46">
        <v>180</v>
      </c>
      <c r="Q18" s="46">
        <v>39</v>
      </c>
      <c r="R18" s="46">
        <v>219</v>
      </c>
      <c r="S18" s="142"/>
    </row>
    <row r="19" spans="1:20" x14ac:dyDescent="0.2">
      <c r="A19" s="45" t="s">
        <v>53</v>
      </c>
      <c r="B19" s="46">
        <v>114</v>
      </c>
      <c r="C19" s="46">
        <v>59</v>
      </c>
      <c r="D19" s="46">
        <v>72</v>
      </c>
      <c r="E19" s="46">
        <v>245</v>
      </c>
      <c r="F19" s="136" t="s">
        <v>391</v>
      </c>
      <c r="G19" s="136" t="s">
        <v>447</v>
      </c>
      <c r="H19" s="137" t="s">
        <v>448</v>
      </c>
      <c r="O19" s="47">
        <v>1</v>
      </c>
      <c r="P19" s="46">
        <v>89</v>
      </c>
      <c r="Q19" s="46">
        <v>23</v>
      </c>
      <c r="R19" s="46">
        <v>112</v>
      </c>
      <c r="S19" s="52">
        <f>GETPIVOTDATA("no",$O$13,"dostanie 50gr/1zł ?",1,"wziął 50gr/1zł?","TAK","ankieter","K")/GETPIVOTDATA("no",$O$13,"dostanie 50gr/1zł ?",1,"ankieter","K")</f>
        <v>0.20535714285714285</v>
      </c>
      <c r="T19" s="269" t="s">
        <v>573</v>
      </c>
    </row>
    <row r="20" spans="1:20" x14ac:dyDescent="0.2">
      <c r="A20" s="47" t="s">
        <v>58</v>
      </c>
      <c r="B20" s="46"/>
      <c r="C20" s="46"/>
      <c r="D20" s="46"/>
      <c r="E20" s="46"/>
      <c r="F20" s="192">
        <f>(26+25)/(72+65)</f>
        <v>0.37226277372262773</v>
      </c>
      <c r="G20" s="177">
        <f>(31+22)/(72+65)</f>
        <v>0.38686131386861317</v>
      </c>
      <c r="H20" s="178">
        <f>(15+18)/(72+65)</f>
        <v>0.24087591240875914</v>
      </c>
      <c r="I20" s="273" t="s">
        <v>439</v>
      </c>
      <c r="J20" s="269" t="s">
        <v>572</v>
      </c>
      <c r="K20" s="62">
        <f>F20+G20+H20</f>
        <v>1</v>
      </c>
      <c r="O20" s="47">
        <v>50</v>
      </c>
      <c r="P20" s="46">
        <v>91</v>
      </c>
      <c r="Q20" s="46">
        <v>16</v>
      </c>
      <c r="R20" s="46">
        <v>107</v>
      </c>
      <c r="S20" s="52">
        <f>GETPIVOTDATA("no",$O$13,"dostanie 50gr/1zł ?",50,"wziął 50gr/1zł?","TAK","ankieter","K")/GETPIVOTDATA("no",$O$13,"dostanie 50gr/1zł ?",50,"ankieter","K")</f>
        <v>0.14953271028037382</v>
      </c>
      <c r="T20" s="269"/>
    </row>
    <row r="21" spans="1:20" x14ac:dyDescent="0.2">
      <c r="A21" s="53" t="s">
        <v>78</v>
      </c>
      <c r="B21" s="46">
        <v>26</v>
      </c>
      <c r="C21" s="46">
        <v>15</v>
      </c>
      <c r="D21" s="46">
        <v>31</v>
      </c>
      <c r="E21" s="46">
        <v>72</v>
      </c>
      <c r="F21" s="46">
        <f>26+25</f>
        <v>51</v>
      </c>
      <c r="G21" s="210">
        <f>31+22</f>
        <v>53</v>
      </c>
      <c r="H21" s="211">
        <f>15+18</f>
        <v>33</v>
      </c>
      <c r="I21" s="274"/>
      <c r="J21" s="269"/>
      <c r="K21">
        <v>137</v>
      </c>
      <c r="O21" s="45" t="s">
        <v>365</v>
      </c>
      <c r="P21" s="46">
        <v>396</v>
      </c>
      <c r="Q21" s="46">
        <v>76</v>
      </c>
      <c r="R21" s="46">
        <v>472</v>
      </c>
    </row>
    <row r="22" spans="1:20" x14ac:dyDescent="0.2">
      <c r="A22" s="53" t="s">
        <v>49</v>
      </c>
      <c r="B22" s="46">
        <v>25</v>
      </c>
      <c r="C22" s="46">
        <v>22</v>
      </c>
      <c r="D22" s="46">
        <v>18</v>
      </c>
      <c r="E22" s="46">
        <v>65</v>
      </c>
      <c r="F22" s="180"/>
      <c r="G22" s="181"/>
      <c r="H22" s="182"/>
      <c r="I22" s="275"/>
      <c r="J22" s="269"/>
    </row>
    <row r="23" spans="1:20" x14ac:dyDescent="0.2">
      <c r="A23" s="47" t="s">
        <v>46</v>
      </c>
      <c r="B23" s="46"/>
      <c r="C23" s="46"/>
      <c r="D23" s="46"/>
      <c r="E23" s="46"/>
      <c r="F23" s="175">
        <f>(32+31)/(46+62)</f>
        <v>0.58333333333333337</v>
      </c>
      <c r="G23" s="213">
        <f>(10+18)/(46+62)</f>
        <v>0.25925925925925924</v>
      </c>
      <c r="H23" s="213">
        <f>(4+13)/(46+62)</f>
        <v>0.15740740740740741</v>
      </c>
      <c r="I23" s="270" t="s">
        <v>440</v>
      </c>
      <c r="J23" s="269"/>
      <c r="K23" s="62">
        <f>F23+G23+H23</f>
        <v>1</v>
      </c>
    </row>
    <row r="24" spans="1:20" x14ac:dyDescent="0.2">
      <c r="A24" s="53" t="s">
        <v>78</v>
      </c>
      <c r="B24" s="46">
        <v>32</v>
      </c>
      <c r="C24" s="46">
        <v>4</v>
      </c>
      <c r="D24" s="46">
        <v>10</v>
      </c>
      <c r="E24" s="46">
        <v>46</v>
      </c>
      <c r="F24" s="46">
        <f>32+31</f>
        <v>63</v>
      </c>
      <c r="G24" s="210">
        <f>10+18</f>
        <v>28</v>
      </c>
      <c r="H24" s="212">
        <f>4+13</f>
        <v>17</v>
      </c>
      <c r="I24" s="271"/>
      <c r="J24" s="269"/>
      <c r="K24">
        <f>63+28+17</f>
        <v>108</v>
      </c>
    </row>
    <row r="25" spans="1:20" ht="17" thickBot="1" x14ac:dyDescent="0.25">
      <c r="A25" s="53" t="s">
        <v>49</v>
      </c>
      <c r="B25" s="46">
        <v>31</v>
      </c>
      <c r="C25" s="46">
        <v>18</v>
      </c>
      <c r="D25" s="46">
        <v>13</v>
      </c>
      <c r="E25" s="46">
        <v>62</v>
      </c>
      <c r="F25" s="186"/>
      <c r="G25" s="186"/>
      <c r="H25" s="187"/>
      <c r="I25" s="272"/>
      <c r="J25" s="269"/>
      <c r="K25">
        <f>46+62</f>
        <v>108</v>
      </c>
      <c r="O25" s="49" t="s">
        <v>576</v>
      </c>
      <c r="P25" s="50"/>
      <c r="Q25" s="50"/>
      <c r="R25" s="50"/>
    </row>
    <row r="26" spans="1:20" ht="17" thickTop="1" x14ac:dyDescent="0.2">
      <c r="A26" s="45" t="s">
        <v>58</v>
      </c>
      <c r="B26" s="46">
        <v>101</v>
      </c>
      <c r="C26" s="46">
        <v>63</v>
      </c>
      <c r="D26" s="46">
        <v>53</v>
      </c>
      <c r="E26" s="46">
        <v>217</v>
      </c>
      <c r="F26" s="141" t="s">
        <v>391</v>
      </c>
      <c r="G26" s="136" t="s">
        <v>447</v>
      </c>
      <c r="H26" s="137" t="s">
        <v>448</v>
      </c>
      <c r="O26" s="48" t="s">
        <v>360</v>
      </c>
      <c r="P26" s="48" t="s">
        <v>361</v>
      </c>
    </row>
    <row r="27" spans="1:20" x14ac:dyDescent="0.2">
      <c r="A27" s="47" t="s">
        <v>58</v>
      </c>
      <c r="B27" s="46"/>
      <c r="C27" s="46"/>
      <c r="D27" s="46"/>
      <c r="E27" s="46"/>
      <c r="F27" s="175">
        <f>(16+22)/(54+52)</f>
        <v>0.35849056603773582</v>
      </c>
      <c r="G27" s="213">
        <f>(22+24)/(54+52)</f>
        <v>0.43396226415094341</v>
      </c>
      <c r="H27" s="213">
        <f>(16+6)/(54+52)</f>
        <v>0.20754716981132076</v>
      </c>
      <c r="I27" s="273" t="s">
        <v>439</v>
      </c>
      <c r="J27" s="276" t="s">
        <v>573</v>
      </c>
      <c r="O27" s="48" t="s">
        <v>362</v>
      </c>
      <c r="P27" t="s">
        <v>48</v>
      </c>
      <c r="Q27" t="s">
        <v>81</v>
      </c>
      <c r="R27" t="s">
        <v>365</v>
      </c>
    </row>
    <row r="28" spans="1:20" x14ac:dyDescent="0.2">
      <c r="A28" s="53" t="s">
        <v>78</v>
      </c>
      <c r="B28" s="46">
        <v>16</v>
      </c>
      <c r="C28" s="46">
        <v>16</v>
      </c>
      <c r="D28" s="46">
        <v>22</v>
      </c>
      <c r="E28" s="46">
        <v>54</v>
      </c>
      <c r="F28" s="214">
        <f>16+22</f>
        <v>38</v>
      </c>
      <c r="G28" s="210">
        <f>22+24</f>
        <v>46</v>
      </c>
      <c r="H28" s="212">
        <f>16+6</f>
        <v>22</v>
      </c>
      <c r="I28" s="274"/>
      <c r="J28" s="276"/>
      <c r="K28" s="62">
        <f>F27+G27+H27</f>
        <v>1</v>
      </c>
      <c r="O28" s="45" t="s">
        <v>58</v>
      </c>
      <c r="P28" s="46"/>
      <c r="Q28" s="46"/>
      <c r="R28" s="46"/>
      <c r="S28" s="41" t="s">
        <v>439</v>
      </c>
    </row>
    <row r="29" spans="1:20" x14ac:dyDescent="0.2">
      <c r="A29" s="53" t="s">
        <v>49</v>
      </c>
      <c r="B29" s="46">
        <v>22</v>
      </c>
      <c r="C29" s="46">
        <v>24</v>
      </c>
      <c r="D29" s="46">
        <v>6</v>
      </c>
      <c r="E29" s="46">
        <v>52</v>
      </c>
      <c r="F29" s="189"/>
      <c r="G29" s="190"/>
      <c r="H29" s="191"/>
      <c r="I29" s="275"/>
      <c r="J29" s="276"/>
      <c r="K29">
        <f>F28+G28+H28</f>
        <v>106</v>
      </c>
      <c r="O29" s="47">
        <v>1</v>
      </c>
      <c r="P29" s="46">
        <v>110</v>
      </c>
      <c r="Q29" s="46">
        <v>14</v>
      </c>
      <c r="R29" s="46">
        <v>124</v>
      </c>
      <c r="S29" s="52">
        <f>GETPIVOTDATA("no",$O$26,"dostanie 50gr/1zł ?",1,"sex (K/M)","K","wziął 50gr/1zł?","TAK")/GETPIVOTDATA("no",$O$26,"dostanie 50gr/1zł ?",1,"sex (K/M)","K")</f>
        <v>0.11290322580645161</v>
      </c>
    </row>
    <row r="30" spans="1:20" x14ac:dyDescent="0.2">
      <c r="A30" s="47" t="s">
        <v>46</v>
      </c>
      <c r="B30" s="46"/>
      <c r="C30" s="46"/>
      <c r="D30" s="46"/>
      <c r="E30" s="46"/>
      <c r="F30" s="175">
        <f>(32+31)/(56+55)</f>
        <v>0.56756756756756754</v>
      </c>
      <c r="G30" s="213">
        <f>(16+15)/(56+55)</f>
        <v>0.27927927927927926</v>
      </c>
      <c r="H30" s="213">
        <f>(8+9)/(56+55)</f>
        <v>0.15315315315315314</v>
      </c>
      <c r="I30" s="270" t="s">
        <v>440</v>
      </c>
      <c r="J30" s="276"/>
      <c r="K30" s="62">
        <f>F30+G30+H30</f>
        <v>1</v>
      </c>
      <c r="O30" s="47">
        <v>50</v>
      </c>
      <c r="P30" s="46">
        <v>115</v>
      </c>
      <c r="Q30" s="46">
        <v>9</v>
      </c>
      <c r="R30" s="46">
        <v>124</v>
      </c>
      <c r="S30" s="52">
        <f>GETPIVOTDATA("no",$O$26,"dostanie 50gr/1zł ?",50,"sex (K/M)","K","wziął 50gr/1zł?","TAK")/GETPIVOTDATA("no",$O$26,"dostanie 50gr/1zł ?",50,"sex (K/M)","K")</f>
        <v>7.2580645161290328E-2</v>
      </c>
      <c r="T30" s="62">
        <f>S29-S30</f>
        <v>4.0322580645161282E-2</v>
      </c>
    </row>
    <row r="31" spans="1:20" x14ac:dyDescent="0.2">
      <c r="A31" s="53" t="s">
        <v>78</v>
      </c>
      <c r="B31" s="46">
        <v>32</v>
      </c>
      <c r="C31" s="46">
        <v>8</v>
      </c>
      <c r="D31" s="46">
        <v>16</v>
      </c>
      <c r="E31" s="46">
        <v>56</v>
      </c>
      <c r="F31" s="46">
        <f>32+31</f>
        <v>63</v>
      </c>
      <c r="G31" s="210">
        <f>16+15</f>
        <v>31</v>
      </c>
      <c r="H31" s="212">
        <f>8+9</f>
        <v>17</v>
      </c>
      <c r="I31" s="271"/>
      <c r="J31" s="276"/>
      <c r="K31">
        <f>F31+G31+H31</f>
        <v>111</v>
      </c>
      <c r="O31" s="45" t="s">
        <v>46</v>
      </c>
      <c r="P31" s="46"/>
      <c r="Q31" s="46"/>
      <c r="R31" s="46"/>
      <c r="S31" s="41" t="s">
        <v>440</v>
      </c>
    </row>
    <row r="32" spans="1:20" ht="17" thickBot="1" x14ac:dyDescent="0.25">
      <c r="A32" s="53" t="s">
        <v>49</v>
      </c>
      <c r="B32" s="46">
        <v>31</v>
      </c>
      <c r="C32" s="46">
        <v>15</v>
      </c>
      <c r="D32" s="46">
        <v>9</v>
      </c>
      <c r="E32" s="46">
        <v>55</v>
      </c>
      <c r="F32" s="186"/>
      <c r="G32" s="186"/>
      <c r="H32" s="187"/>
      <c r="I32" s="272"/>
      <c r="J32" s="276"/>
      <c r="O32" s="47">
        <v>1</v>
      </c>
      <c r="P32" s="46">
        <v>84</v>
      </c>
      <c r="Q32" s="46">
        <v>33</v>
      </c>
      <c r="R32" s="46">
        <v>117</v>
      </c>
      <c r="S32" s="52">
        <f>GETPIVOTDATA("no",$O$26,"dostanie 50gr/1zł ?",1,"sex (K/M)","M","wziął 50gr/1zł?","TAK")/GETPIVOTDATA("no",$O$26,"dostanie 50gr/1zł ?",1,"sex (K/M)","M")</f>
        <v>0.28205128205128205</v>
      </c>
    </row>
    <row r="33" spans="1:21" ht="17" thickTop="1" x14ac:dyDescent="0.2">
      <c r="A33" s="53" t="s">
        <v>393</v>
      </c>
      <c r="B33" s="46">
        <v>106</v>
      </c>
      <c r="C33" s="46">
        <v>43</v>
      </c>
      <c r="D33" s="46">
        <v>79</v>
      </c>
      <c r="E33" s="46">
        <v>228</v>
      </c>
      <c r="O33" s="47">
        <v>50</v>
      </c>
      <c r="P33" s="46">
        <v>87</v>
      </c>
      <c r="Q33" s="46">
        <v>20</v>
      </c>
      <c r="R33" s="46">
        <v>107</v>
      </c>
      <c r="S33" s="52">
        <f>GETPIVOTDATA("no",$O$26,"dostanie 50gr/1zł ?",50,"sex (K/M)","M","wziął 50gr/1zł?","TAK")/GETPIVOTDATA("no",$O$26,"dostanie 50gr/1zł ?",50,"sex (K/M)","M")</f>
        <v>0.18691588785046728</v>
      </c>
      <c r="T33" s="62">
        <f>S32-S33</f>
        <v>9.5135394200814766E-2</v>
      </c>
    </row>
    <row r="34" spans="1:21" ht="17" thickTop="1" x14ac:dyDescent="0.2">
      <c r="A34" s="53" t="s">
        <v>394</v>
      </c>
      <c r="B34" s="46">
        <v>109</v>
      </c>
      <c r="C34" s="46">
        <v>79</v>
      </c>
      <c r="D34" s="46">
        <v>46</v>
      </c>
      <c r="E34" s="46">
        <v>234</v>
      </c>
      <c r="F34">
        <f>51+63+38+63</f>
        <v>215</v>
      </c>
      <c r="G34">
        <f>53+28+46+31</f>
        <v>158</v>
      </c>
      <c r="H34">
        <f>33+17+22+17</f>
        <v>89</v>
      </c>
      <c r="O34" s="45" t="s">
        <v>365</v>
      </c>
      <c r="P34" s="46">
        <v>396</v>
      </c>
      <c r="Q34" s="46">
        <v>76</v>
      </c>
      <c r="R34" s="46">
        <v>472</v>
      </c>
    </row>
    <row r="35" spans="1:21" x14ac:dyDescent="0.2">
      <c r="A35" s="45" t="s">
        <v>365</v>
      </c>
      <c r="B35" s="46">
        <v>215</v>
      </c>
      <c r="C35" s="46">
        <v>122</v>
      </c>
      <c r="D35" s="46">
        <v>125</v>
      </c>
      <c r="E35" s="46">
        <v>462</v>
      </c>
      <c r="F35" s="52">
        <f>F34/GETPIVOTDATA("no",$A$17)</f>
        <v>0.46536796536796537</v>
      </c>
      <c r="G35" s="52">
        <f>G34/GETPIVOTDATA("no",$A$17)</f>
        <v>0.34199134199134201</v>
      </c>
      <c r="H35" s="52">
        <f>H34/GETPIVOTDATA("no",$A$17)</f>
        <v>0.19264069264069264</v>
      </c>
    </row>
    <row r="38" spans="1:21" x14ac:dyDescent="0.2">
      <c r="O38" s="49" t="s">
        <v>577</v>
      </c>
      <c r="P38" s="50"/>
      <c r="Q38" s="50"/>
      <c r="R38" s="50"/>
      <c r="S38" s="50"/>
    </row>
    <row r="39" spans="1:21" x14ac:dyDescent="0.2">
      <c r="O39" s="48" t="s">
        <v>360</v>
      </c>
      <c r="P39" s="48" t="s">
        <v>361</v>
      </c>
    </row>
    <row r="40" spans="1:21" x14ac:dyDescent="0.2">
      <c r="O40" s="48" t="s">
        <v>362</v>
      </c>
      <c r="P40" t="s">
        <v>48</v>
      </c>
      <c r="Q40" t="s">
        <v>81</v>
      </c>
      <c r="R40" t="s">
        <v>365</v>
      </c>
    </row>
    <row r="41" spans="1:21" x14ac:dyDescent="0.2">
      <c r="A41" s="68" t="s">
        <v>360</v>
      </c>
      <c r="B41" s="130" t="s">
        <v>361</v>
      </c>
      <c r="C41" s="130"/>
      <c r="D41" s="130"/>
      <c r="E41" s="129"/>
      <c r="F41" s="129"/>
      <c r="G41" s="129"/>
      <c r="H41" s="129"/>
      <c r="O41" s="45" t="s">
        <v>53</v>
      </c>
      <c r="P41" s="46">
        <v>216</v>
      </c>
      <c r="Q41" s="46">
        <v>37</v>
      </c>
      <c r="R41" s="46">
        <v>253</v>
      </c>
      <c r="T41" s="41" t="s">
        <v>574</v>
      </c>
    </row>
    <row r="42" spans="1:21" x14ac:dyDescent="0.2">
      <c r="A42" s="80" t="s">
        <v>362</v>
      </c>
      <c r="B42" s="131" t="s">
        <v>58</v>
      </c>
      <c r="C42" s="131" t="s">
        <v>46</v>
      </c>
      <c r="D42" s="80" t="s">
        <v>365</v>
      </c>
      <c r="E42" s="129"/>
      <c r="F42" s="129"/>
      <c r="G42" s="129"/>
      <c r="H42" s="129"/>
      <c r="O42" s="47" t="s">
        <v>58</v>
      </c>
      <c r="P42" s="46"/>
      <c r="Q42" s="46"/>
      <c r="R42" s="46"/>
      <c r="T42" s="41" t="s">
        <v>439</v>
      </c>
      <c r="U42" s="41" t="s">
        <v>440</v>
      </c>
    </row>
    <row r="43" spans="1:21" x14ac:dyDescent="0.2">
      <c r="A43" s="86" t="s">
        <v>53</v>
      </c>
      <c r="B43" s="143">
        <v>141</v>
      </c>
      <c r="C43" s="143">
        <v>112</v>
      </c>
      <c r="D43" s="143">
        <v>253</v>
      </c>
      <c r="E43" s="129"/>
      <c r="F43" s="129"/>
      <c r="G43" s="129"/>
      <c r="H43" s="129"/>
      <c r="O43" s="53">
        <v>1</v>
      </c>
      <c r="P43" s="46">
        <v>59</v>
      </c>
      <c r="Q43" s="46">
        <v>7</v>
      </c>
      <c r="R43" s="46">
        <v>66</v>
      </c>
      <c r="S43" s="176" t="s">
        <v>443</v>
      </c>
      <c r="T43" s="52">
        <f>7/66</f>
        <v>0.10606060606060606</v>
      </c>
      <c r="U43" s="52">
        <f>17/63</f>
        <v>0.26984126984126983</v>
      </c>
    </row>
    <row r="44" spans="1:21" x14ac:dyDescent="0.2">
      <c r="A44" s="144" t="s">
        <v>57</v>
      </c>
      <c r="B44" s="103">
        <v>4</v>
      </c>
      <c r="C44" s="103">
        <v>6</v>
      </c>
      <c r="D44" s="103">
        <v>10</v>
      </c>
      <c r="E44" s="129"/>
      <c r="F44" s="129"/>
      <c r="G44" s="129"/>
      <c r="H44" s="129"/>
      <c r="O44" s="53">
        <v>50</v>
      </c>
      <c r="P44" s="46">
        <v>70</v>
      </c>
      <c r="Q44" s="46">
        <v>5</v>
      </c>
      <c r="R44" s="46">
        <v>75</v>
      </c>
      <c r="S44" s="176" t="s">
        <v>444</v>
      </c>
      <c r="T44" s="52">
        <f>5/75</f>
        <v>6.6666666666666666E-2</v>
      </c>
      <c r="U44" s="52">
        <f>8/49</f>
        <v>0.16326530612244897</v>
      </c>
    </row>
    <row r="45" spans="1:21" x14ac:dyDescent="0.2">
      <c r="A45" s="144" t="s">
        <v>68</v>
      </c>
      <c r="B45" s="103">
        <v>8</v>
      </c>
      <c r="C45" s="103">
        <v>8</v>
      </c>
      <c r="D45" s="103">
        <v>16</v>
      </c>
      <c r="E45" s="129"/>
      <c r="F45" s="129"/>
      <c r="G45" s="129"/>
      <c r="H45" s="129"/>
      <c r="O45" s="47" t="s">
        <v>46</v>
      </c>
      <c r="P45" s="46"/>
      <c r="Q45" s="46"/>
      <c r="R45" s="46"/>
      <c r="S45" s="44" t="s">
        <v>516</v>
      </c>
      <c r="T45" s="62">
        <f>T43-T44</f>
        <v>3.9393939393939398E-2</v>
      </c>
      <c r="U45" s="62">
        <f>U43-U44</f>
        <v>0.10657596371882086</v>
      </c>
    </row>
    <row r="46" spans="1:21" x14ac:dyDescent="0.2">
      <c r="A46" s="144" t="s">
        <v>44</v>
      </c>
      <c r="B46" s="103">
        <v>6</v>
      </c>
      <c r="C46" s="103"/>
      <c r="D46" s="103">
        <v>6</v>
      </c>
      <c r="E46" s="129"/>
      <c r="F46" s="129"/>
      <c r="G46" s="129"/>
      <c r="H46" s="129"/>
      <c r="O46" s="53">
        <v>1</v>
      </c>
      <c r="P46" s="46">
        <v>46</v>
      </c>
      <c r="Q46" s="46">
        <v>17</v>
      </c>
      <c r="R46" s="46">
        <v>63</v>
      </c>
    </row>
    <row r="47" spans="1:21" x14ac:dyDescent="0.2">
      <c r="A47" s="144" t="s">
        <v>60</v>
      </c>
      <c r="B47" s="103">
        <v>7</v>
      </c>
      <c r="C47" s="103">
        <v>3</v>
      </c>
      <c r="D47" s="103">
        <v>10</v>
      </c>
      <c r="E47" s="129"/>
      <c r="F47" s="129"/>
      <c r="G47" s="129"/>
      <c r="H47" s="129"/>
      <c r="O47" s="53">
        <v>50</v>
      </c>
      <c r="P47" s="46">
        <v>41</v>
      </c>
      <c r="Q47" s="46">
        <v>8</v>
      </c>
      <c r="R47" s="46">
        <v>49</v>
      </c>
    </row>
    <row r="48" spans="1:21" x14ac:dyDescent="0.2">
      <c r="A48" s="144" t="s">
        <v>64</v>
      </c>
      <c r="B48" s="103">
        <v>10</v>
      </c>
      <c r="C48" s="103">
        <v>4</v>
      </c>
      <c r="D48" s="103">
        <v>14</v>
      </c>
      <c r="E48" s="267" t="s">
        <v>58</v>
      </c>
      <c r="F48" s="268"/>
      <c r="G48" s="267" t="s">
        <v>46</v>
      </c>
      <c r="H48" s="268"/>
      <c r="O48" s="45" t="s">
        <v>58</v>
      </c>
      <c r="P48" s="46">
        <v>180</v>
      </c>
      <c r="Q48" s="46">
        <v>39</v>
      </c>
      <c r="R48" s="46">
        <v>219</v>
      </c>
      <c r="T48" s="41" t="s">
        <v>575</v>
      </c>
    </row>
    <row r="49" spans="1:21" x14ac:dyDescent="0.2">
      <c r="A49" s="144" t="s">
        <v>70</v>
      </c>
      <c r="B49" s="103">
        <v>10</v>
      </c>
      <c r="C49" s="103">
        <v>4</v>
      </c>
      <c r="D49" s="103">
        <v>14</v>
      </c>
      <c r="E49" s="146" t="s">
        <v>47</v>
      </c>
      <c r="F49" s="147" t="s">
        <v>398</v>
      </c>
      <c r="G49" s="146" t="s">
        <v>47</v>
      </c>
      <c r="H49" s="147" t="s">
        <v>398</v>
      </c>
      <c r="O49" s="47" t="s">
        <v>58</v>
      </c>
      <c r="P49" s="46"/>
      <c r="Q49" s="46"/>
      <c r="R49" s="46"/>
      <c r="T49" s="41" t="s">
        <v>439</v>
      </c>
      <c r="U49" s="41" t="s">
        <v>440</v>
      </c>
    </row>
    <row r="50" spans="1:21" x14ac:dyDescent="0.2">
      <c r="A50" s="144" t="s">
        <v>47</v>
      </c>
      <c r="B50" s="103">
        <v>96</v>
      </c>
      <c r="C50" s="103">
        <v>87</v>
      </c>
      <c r="D50" s="103">
        <v>183</v>
      </c>
      <c r="E50" s="148">
        <v>0.68</v>
      </c>
      <c r="F50" s="149">
        <v>0.32</v>
      </c>
      <c r="G50" s="148">
        <v>0.78</v>
      </c>
      <c r="H50" s="149">
        <v>0.22</v>
      </c>
      <c r="O50" s="53">
        <v>1</v>
      </c>
      <c r="P50" s="46">
        <v>51</v>
      </c>
      <c r="Q50" s="46">
        <v>7</v>
      </c>
      <c r="R50" s="46">
        <v>58</v>
      </c>
      <c r="S50" s="176" t="s">
        <v>443</v>
      </c>
      <c r="T50" s="52">
        <f>7/58</f>
        <v>0.1206896551724138</v>
      </c>
      <c r="U50" s="52">
        <f>16/54</f>
        <v>0.29629629629629628</v>
      </c>
    </row>
    <row r="51" spans="1:21" x14ac:dyDescent="0.2">
      <c r="A51" s="86" t="s">
        <v>58</v>
      </c>
      <c r="B51" s="143">
        <v>53</v>
      </c>
      <c r="C51" s="143">
        <v>50</v>
      </c>
      <c r="D51" s="143">
        <v>103</v>
      </c>
      <c r="E51" s="129"/>
      <c r="F51" s="129"/>
      <c r="G51" s="129"/>
      <c r="H51" s="129"/>
      <c r="O51" s="53">
        <v>50</v>
      </c>
      <c r="P51" s="46">
        <v>45</v>
      </c>
      <c r="Q51" s="46">
        <v>4</v>
      </c>
      <c r="R51" s="46">
        <v>49</v>
      </c>
      <c r="S51" s="176" t="s">
        <v>444</v>
      </c>
      <c r="T51" s="52">
        <f>4/49</f>
        <v>8.1632653061224483E-2</v>
      </c>
      <c r="U51" s="52">
        <f>12/58</f>
        <v>0.20689655172413793</v>
      </c>
    </row>
    <row r="52" spans="1:21" x14ac:dyDescent="0.2">
      <c r="A52" s="144" t="s">
        <v>57</v>
      </c>
      <c r="B52" s="103">
        <v>4</v>
      </c>
      <c r="C52" s="103">
        <v>2</v>
      </c>
      <c r="D52" s="103">
        <v>6</v>
      </c>
      <c r="E52" s="129"/>
      <c r="F52" s="129"/>
      <c r="G52" s="129"/>
      <c r="H52" s="129"/>
      <c r="O52" s="47" t="s">
        <v>46</v>
      </c>
      <c r="P52" s="46"/>
      <c r="Q52" s="46"/>
      <c r="R52" s="46"/>
      <c r="S52" s="44" t="s">
        <v>516</v>
      </c>
      <c r="T52" s="62">
        <f>T50-T51</f>
        <v>3.9057002111189315E-2</v>
      </c>
      <c r="U52" s="62">
        <f>U50-U51</f>
        <v>8.9399744572158352E-2</v>
      </c>
    </row>
    <row r="53" spans="1:21" x14ac:dyDescent="0.2">
      <c r="A53" s="144" t="s">
        <v>68</v>
      </c>
      <c r="B53" s="103">
        <v>1</v>
      </c>
      <c r="C53" s="103">
        <v>7</v>
      </c>
      <c r="D53" s="103">
        <v>8</v>
      </c>
      <c r="E53" s="129"/>
      <c r="F53" s="129"/>
      <c r="G53" s="129"/>
      <c r="H53" s="129"/>
      <c r="O53" s="53">
        <v>1</v>
      </c>
      <c r="P53" s="46">
        <v>38</v>
      </c>
      <c r="Q53" s="46">
        <v>16</v>
      </c>
      <c r="R53" s="46">
        <v>54</v>
      </c>
    </row>
    <row r="54" spans="1:21" x14ac:dyDescent="0.2">
      <c r="A54" s="144" t="s">
        <v>44</v>
      </c>
      <c r="B54" s="103">
        <v>3</v>
      </c>
      <c r="C54" s="103">
        <v>5</v>
      </c>
      <c r="D54" s="103">
        <v>8</v>
      </c>
      <c r="E54" s="129"/>
      <c r="F54" s="129"/>
      <c r="G54" s="129"/>
      <c r="H54" s="129"/>
      <c r="O54" s="53">
        <v>50</v>
      </c>
      <c r="P54" s="46">
        <v>46</v>
      </c>
      <c r="Q54" s="46">
        <v>12</v>
      </c>
      <c r="R54" s="46">
        <v>58</v>
      </c>
    </row>
    <row r="55" spans="1:21" x14ac:dyDescent="0.2">
      <c r="A55" s="144" t="s">
        <v>60</v>
      </c>
      <c r="B55" s="103">
        <v>4</v>
      </c>
      <c r="C55" s="103">
        <v>1</v>
      </c>
      <c r="D55" s="103">
        <v>5</v>
      </c>
      <c r="E55" s="129"/>
      <c r="F55" s="129"/>
      <c r="G55" s="129"/>
      <c r="H55" s="129"/>
      <c r="O55" s="45" t="s">
        <v>365</v>
      </c>
      <c r="P55" s="46">
        <v>396</v>
      </c>
      <c r="Q55" s="46">
        <v>76</v>
      </c>
      <c r="R55" s="46">
        <v>472</v>
      </c>
    </row>
    <row r="56" spans="1:21" x14ac:dyDescent="0.2">
      <c r="A56" s="144" t="s">
        <v>64</v>
      </c>
      <c r="B56" s="103"/>
      <c r="C56" s="103">
        <v>5</v>
      </c>
      <c r="D56" s="103">
        <v>5</v>
      </c>
      <c r="E56" s="267" t="s">
        <v>58</v>
      </c>
      <c r="F56" s="268"/>
      <c r="G56" s="267" t="s">
        <v>46</v>
      </c>
      <c r="H56" s="268"/>
    </row>
    <row r="57" spans="1:21" x14ac:dyDescent="0.2">
      <c r="A57" s="144" t="s">
        <v>70</v>
      </c>
      <c r="B57" s="103">
        <v>2</v>
      </c>
      <c r="C57" s="103">
        <v>5</v>
      </c>
      <c r="D57" s="103">
        <v>7</v>
      </c>
      <c r="E57" s="146" t="s">
        <v>47</v>
      </c>
      <c r="F57" s="147" t="s">
        <v>398</v>
      </c>
      <c r="G57" s="146" t="s">
        <v>47</v>
      </c>
      <c r="H57" s="147" t="s">
        <v>398</v>
      </c>
    </row>
    <row r="58" spans="1:21" ht="17" thickBot="1" x14ac:dyDescent="0.25">
      <c r="A58" s="144" t="s">
        <v>47</v>
      </c>
      <c r="B58" s="103">
        <v>39</v>
      </c>
      <c r="C58" s="103">
        <v>25</v>
      </c>
      <c r="D58" s="103">
        <v>64</v>
      </c>
      <c r="E58" s="148">
        <v>0.74</v>
      </c>
      <c r="F58" s="149">
        <v>0.26</v>
      </c>
      <c r="G58" s="148">
        <v>0.5</v>
      </c>
      <c r="H58" s="149">
        <v>0.5</v>
      </c>
    </row>
    <row r="59" spans="1:21" ht="17" thickTop="1" x14ac:dyDescent="0.2">
      <c r="A59" s="134" t="s">
        <v>365</v>
      </c>
      <c r="B59" s="145">
        <v>194</v>
      </c>
      <c r="C59" s="145">
        <v>162</v>
      </c>
      <c r="D59" s="145">
        <v>356</v>
      </c>
      <c r="E59" s="129"/>
      <c r="F59" s="129"/>
      <c r="G59" s="129"/>
      <c r="H59" s="129"/>
    </row>
    <row r="63" spans="1:21" x14ac:dyDescent="0.2">
      <c r="A63" s="48" t="s">
        <v>4</v>
      </c>
      <c r="B63" t="s">
        <v>53</v>
      </c>
    </row>
    <row r="65" spans="1:11" x14ac:dyDescent="0.2">
      <c r="A65" s="48" t="s">
        <v>360</v>
      </c>
      <c r="B65" s="48" t="s">
        <v>361</v>
      </c>
    </row>
    <row r="66" spans="1:11" x14ac:dyDescent="0.2">
      <c r="A66" s="48" t="s">
        <v>362</v>
      </c>
      <c r="B66" t="s">
        <v>58</v>
      </c>
      <c r="C66" t="s">
        <v>46</v>
      </c>
      <c r="D66" t="s">
        <v>365</v>
      </c>
      <c r="I66" t="s">
        <v>396</v>
      </c>
      <c r="J66">
        <v>253</v>
      </c>
      <c r="K66" s="52">
        <f>253/472</f>
        <v>0.53601694915254239</v>
      </c>
    </row>
    <row r="67" spans="1:11" x14ac:dyDescent="0.2">
      <c r="A67" s="45" t="s">
        <v>57</v>
      </c>
      <c r="B67" s="46">
        <v>4</v>
      </c>
      <c r="C67" s="46">
        <v>6</v>
      </c>
      <c r="D67" s="46">
        <v>10</v>
      </c>
      <c r="I67" t="s">
        <v>451</v>
      </c>
      <c r="J67">
        <v>219</v>
      </c>
      <c r="K67" s="52">
        <f>219/472</f>
        <v>0.46398305084745761</v>
      </c>
    </row>
    <row r="68" spans="1:11" x14ac:dyDescent="0.2">
      <c r="A68" s="45" t="s">
        <v>68</v>
      </c>
      <c r="B68" s="46">
        <v>8</v>
      </c>
      <c r="C68" s="46">
        <v>8</v>
      </c>
      <c r="D68" s="46">
        <v>16</v>
      </c>
    </row>
    <row r="69" spans="1:11" x14ac:dyDescent="0.2">
      <c r="A69" s="45" t="s">
        <v>44</v>
      </c>
      <c r="B69" s="46">
        <v>6</v>
      </c>
      <c r="C69" s="46"/>
      <c r="D69" s="46">
        <v>6</v>
      </c>
    </row>
    <row r="70" spans="1:11" x14ac:dyDescent="0.2">
      <c r="A70" s="45" t="s">
        <v>60</v>
      </c>
      <c r="B70" s="46">
        <v>7</v>
      </c>
      <c r="C70" s="46">
        <v>3</v>
      </c>
      <c r="D70" s="46">
        <v>10</v>
      </c>
    </row>
    <row r="71" spans="1:11" x14ac:dyDescent="0.2">
      <c r="A71" s="45" t="s">
        <v>64</v>
      </c>
      <c r="B71" s="46">
        <v>10</v>
      </c>
      <c r="C71" s="46">
        <v>4</v>
      </c>
      <c r="D71" s="46">
        <v>14</v>
      </c>
    </row>
    <row r="72" spans="1:11" x14ac:dyDescent="0.2">
      <c r="A72" s="45" t="s">
        <v>70</v>
      </c>
      <c r="B72" s="46">
        <v>10</v>
      </c>
      <c r="C72" s="46">
        <v>4</v>
      </c>
      <c r="D72" s="46">
        <v>14</v>
      </c>
      <c r="E72" s="267" t="s">
        <v>439</v>
      </c>
      <c r="F72" s="268"/>
      <c r="G72" s="267" t="s">
        <v>440</v>
      </c>
      <c r="H72" s="268"/>
    </row>
    <row r="73" spans="1:11" x14ac:dyDescent="0.2">
      <c r="A73" s="45" t="s">
        <v>47</v>
      </c>
      <c r="B73" s="46">
        <v>96</v>
      </c>
      <c r="C73" s="46">
        <v>87</v>
      </c>
      <c r="D73" s="46">
        <v>183</v>
      </c>
      <c r="E73" s="146" t="s">
        <v>47</v>
      </c>
      <c r="F73" s="147" t="s">
        <v>398</v>
      </c>
      <c r="G73" s="146" t="s">
        <v>47</v>
      </c>
      <c r="H73" s="147" t="s">
        <v>398</v>
      </c>
    </row>
    <row r="74" spans="1:11" x14ac:dyDescent="0.2">
      <c r="A74" s="45" t="s">
        <v>365</v>
      </c>
      <c r="B74" s="46">
        <v>141</v>
      </c>
      <c r="C74" s="46">
        <v>112</v>
      </c>
      <c r="D74" s="46">
        <v>253</v>
      </c>
      <c r="E74" s="205">
        <f>172/248</f>
        <v>0.69354838709677424</v>
      </c>
      <c r="F74" s="206">
        <f>76/248</f>
        <v>0.30645161290322581</v>
      </c>
      <c r="G74" s="205">
        <f>158/224</f>
        <v>0.7053571428571429</v>
      </c>
      <c r="H74" s="206">
        <f>66/224</f>
        <v>0.29464285714285715</v>
      </c>
    </row>
    <row r="75" spans="1:11" x14ac:dyDescent="0.2">
      <c r="E75" s="129"/>
      <c r="F75" s="129"/>
      <c r="G75" s="129"/>
      <c r="H75" s="129"/>
    </row>
    <row r="76" spans="1:11" x14ac:dyDescent="0.2">
      <c r="B76" s="52"/>
      <c r="C76" s="52"/>
      <c r="E76" s="129" t="s">
        <v>450</v>
      </c>
      <c r="F76" s="129"/>
      <c r="G76" s="129"/>
      <c r="H76" s="129"/>
    </row>
    <row r="77" spans="1:11" x14ac:dyDescent="0.2">
      <c r="E77" s="267" t="s">
        <v>439</v>
      </c>
      <c r="F77" s="268"/>
      <c r="G77" s="267" t="s">
        <v>440</v>
      </c>
      <c r="H77" s="268"/>
    </row>
    <row r="78" spans="1:11" x14ac:dyDescent="0.2">
      <c r="E78" s="146" t="s">
        <v>47</v>
      </c>
      <c r="F78" s="147" t="s">
        <v>398</v>
      </c>
      <c r="G78" s="146" t="s">
        <v>47</v>
      </c>
      <c r="H78" s="147" t="s">
        <v>398</v>
      </c>
    </row>
    <row r="79" spans="1:11" x14ac:dyDescent="0.2">
      <c r="E79" s="205">
        <f>76/107</f>
        <v>0.71028037383177567</v>
      </c>
      <c r="F79" s="206">
        <f>100%-E79</f>
        <v>0.28971962616822433</v>
      </c>
      <c r="G79" s="205">
        <f>71/112</f>
        <v>0.6339285714285714</v>
      </c>
      <c r="H79" s="206">
        <f>100%-G79</f>
        <v>0.3660714285714286</v>
      </c>
    </row>
    <row r="82" spans="5:8" x14ac:dyDescent="0.2">
      <c r="E82" s="129" t="s">
        <v>449</v>
      </c>
      <c r="F82" s="129"/>
      <c r="G82" s="129"/>
      <c r="H82" s="129"/>
    </row>
    <row r="83" spans="5:8" x14ac:dyDescent="0.2">
      <c r="E83" s="267" t="s">
        <v>439</v>
      </c>
      <c r="F83" s="268"/>
      <c r="G83" s="267" t="s">
        <v>440</v>
      </c>
      <c r="H83" s="268"/>
    </row>
    <row r="84" spans="5:8" x14ac:dyDescent="0.2">
      <c r="E84" s="146" t="s">
        <v>47</v>
      </c>
      <c r="F84" s="147" t="s">
        <v>398</v>
      </c>
      <c r="G84" s="146" t="s">
        <v>47</v>
      </c>
      <c r="H84" s="147" t="s">
        <v>398</v>
      </c>
    </row>
    <row r="85" spans="5:8" x14ac:dyDescent="0.2">
      <c r="E85" s="205">
        <f>96/141</f>
        <v>0.68085106382978722</v>
      </c>
      <c r="F85" s="206">
        <f>100%-E85</f>
        <v>0.31914893617021278</v>
      </c>
      <c r="G85" s="205">
        <f>87/112</f>
        <v>0.7767857142857143</v>
      </c>
      <c r="H85" s="206">
        <f>100%-G85</f>
        <v>0.2232142857142857</v>
      </c>
    </row>
  </sheetData>
  <mergeCells count="20">
    <mergeCell ref="J3:J5"/>
    <mergeCell ref="J6:J8"/>
    <mergeCell ref="I20:I22"/>
    <mergeCell ref="I23:I25"/>
    <mergeCell ref="I27:I29"/>
    <mergeCell ref="J20:J25"/>
    <mergeCell ref="J27:J32"/>
    <mergeCell ref="T16:T17"/>
    <mergeCell ref="T19:T20"/>
    <mergeCell ref="E48:F48"/>
    <mergeCell ref="G48:H48"/>
    <mergeCell ref="E56:F56"/>
    <mergeCell ref="G56:H56"/>
    <mergeCell ref="I30:I32"/>
    <mergeCell ref="E77:F77"/>
    <mergeCell ref="G77:H77"/>
    <mergeCell ref="E72:F72"/>
    <mergeCell ref="G72:H72"/>
    <mergeCell ref="E83:F83"/>
    <mergeCell ref="G83:H8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1"/>
  <sheetViews>
    <sheetView workbookViewId="0">
      <selection activeCell="C34" sqref="C34"/>
    </sheetView>
  </sheetViews>
  <sheetFormatPr baseColWidth="10" defaultRowHeight="16" x14ac:dyDescent="0.2"/>
  <cols>
    <col min="1" max="1" width="13.33203125" customWidth="1"/>
    <col min="2" max="2" width="16.83203125" customWidth="1"/>
    <col min="3" max="3" width="19.5" customWidth="1"/>
    <col min="4" max="4" width="24.6640625" bestFit="1" customWidth="1"/>
    <col min="6" max="6" width="11.6640625" bestFit="1" customWidth="1"/>
  </cols>
  <sheetData>
    <row r="1" spans="1:9" x14ac:dyDescent="0.2">
      <c r="A1" s="48" t="s">
        <v>1</v>
      </c>
      <c r="B1" t="s">
        <v>399</v>
      </c>
    </row>
    <row r="2" spans="1:9" x14ac:dyDescent="0.2">
      <c r="A2" s="48" t="s">
        <v>2</v>
      </c>
      <c r="B2" t="s">
        <v>399</v>
      </c>
    </row>
    <row r="4" spans="1:9" x14ac:dyDescent="0.2">
      <c r="A4" s="48" t="s">
        <v>362</v>
      </c>
      <c r="B4" t="s">
        <v>360</v>
      </c>
      <c r="E4" s="41" t="s">
        <v>47</v>
      </c>
      <c r="F4">
        <v>330</v>
      </c>
      <c r="H4" s="41" t="s">
        <v>398</v>
      </c>
      <c r="I4">
        <v>142</v>
      </c>
    </row>
    <row r="5" spans="1:9" x14ac:dyDescent="0.2">
      <c r="A5" s="45" t="s">
        <v>78</v>
      </c>
      <c r="B5" s="46">
        <v>234</v>
      </c>
      <c r="E5" s="41" t="s">
        <v>447</v>
      </c>
      <c r="F5" s="52">
        <f>(49+61)/(152+178)</f>
        <v>0.33333333333333331</v>
      </c>
      <c r="G5" s="142"/>
      <c r="H5" s="41" t="s">
        <v>447</v>
      </c>
      <c r="I5" s="52">
        <f>(30+18)/(82+60)</f>
        <v>0.3380281690140845</v>
      </c>
    </row>
    <row r="6" spans="1:9" x14ac:dyDescent="0.2">
      <c r="A6" s="47">
        <v>0</v>
      </c>
      <c r="B6" s="46">
        <v>6</v>
      </c>
      <c r="E6" s="41" t="s">
        <v>453</v>
      </c>
      <c r="F6" s="52">
        <f>(24+30)/(152+178)</f>
        <v>0.16363636363636364</v>
      </c>
      <c r="H6" s="41" t="s">
        <v>453</v>
      </c>
      <c r="I6" s="52">
        <f>(19+16)/(82+60)</f>
        <v>0.24647887323943662</v>
      </c>
    </row>
    <row r="7" spans="1:9" x14ac:dyDescent="0.2">
      <c r="A7" s="47" t="s">
        <v>50</v>
      </c>
      <c r="B7" s="46">
        <v>106</v>
      </c>
      <c r="E7" s="41" t="s">
        <v>391</v>
      </c>
      <c r="F7" s="52">
        <f>(74+83)/(152+178)</f>
        <v>0.47575757575757577</v>
      </c>
      <c r="H7" s="41" t="s">
        <v>391</v>
      </c>
      <c r="I7" s="142">
        <f>(32+26)/(82+60)</f>
        <v>0.40845070422535212</v>
      </c>
    </row>
    <row r="8" spans="1:9" x14ac:dyDescent="0.2">
      <c r="A8" s="47" t="s">
        <v>78</v>
      </c>
      <c r="B8" s="46">
        <v>43</v>
      </c>
    </row>
    <row r="9" spans="1:9" x14ac:dyDescent="0.2">
      <c r="A9" s="47" t="s">
        <v>49</v>
      </c>
      <c r="B9" s="46">
        <v>79</v>
      </c>
    </row>
    <row r="10" spans="1:9" x14ac:dyDescent="0.2">
      <c r="A10" s="45" t="s">
        <v>49</v>
      </c>
      <c r="B10" s="46">
        <v>238</v>
      </c>
    </row>
    <row r="11" spans="1:9" x14ac:dyDescent="0.2">
      <c r="A11" s="47">
        <v>0</v>
      </c>
      <c r="B11" s="46">
        <v>4</v>
      </c>
      <c r="E11" s="41" t="s">
        <v>454</v>
      </c>
      <c r="F11">
        <v>280</v>
      </c>
      <c r="H11" s="41" t="s">
        <v>455</v>
      </c>
      <c r="I11">
        <v>116</v>
      </c>
    </row>
    <row r="12" spans="1:9" x14ac:dyDescent="0.2">
      <c r="A12" s="47" t="s">
        <v>50</v>
      </c>
      <c r="B12" s="46">
        <v>109</v>
      </c>
      <c r="E12" s="41" t="s">
        <v>447</v>
      </c>
      <c r="F12" s="52">
        <f>(49+56)/(126+154)</f>
        <v>0.375</v>
      </c>
      <c r="H12" s="41" t="s">
        <v>447</v>
      </c>
      <c r="I12" s="52">
        <f>(27+16)/116</f>
        <v>0.37068965517241381</v>
      </c>
    </row>
    <row r="13" spans="1:9" x14ac:dyDescent="0.2">
      <c r="A13" s="47" t="s">
        <v>78</v>
      </c>
      <c r="B13" s="46">
        <v>79</v>
      </c>
      <c r="E13" s="41" t="s">
        <v>453</v>
      </c>
      <c r="F13" s="52">
        <f>(22+28)/280</f>
        <v>0.17857142857142858</v>
      </c>
      <c r="H13" s="41" t="s">
        <v>453</v>
      </c>
      <c r="I13" s="52">
        <f>(16+14)/116</f>
        <v>0.25862068965517243</v>
      </c>
    </row>
    <row r="14" spans="1:9" x14ac:dyDescent="0.2">
      <c r="A14" s="47" t="s">
        <v>49</v>
      </c>
      <c r="B14" s="46">
        <v>46</v>
      </c>
      <c r="E14" s="41" t="s">
        <v>391</v>
      </c>
      <c r="F14" s="52">
        <f>(51+66)/280</f>
        <v>0.41785714285714287</v>
      </c>
      <c r="H14" s="41" t="s">
        <v>391</v>
      </c>
      <c r="I14" s="52">
        <f>(24+18)/116</f>
        <v>0.36206896551724138</v>
      </c>
    </row>
    <row r="15" spans="1:9" x14ac:dyDescent="0.2">
      <c r="A15" s="45" t="s">
        <v>365</v>
      </c>
      <c r="B15" s="46">
        <v>472</v>
      </c>
    </row>
    <row r="17" spans="5:9" x14ac:dyDescent="0.2">
      <c r="E17" s="41" t="s">
        <v>456</v>
      </c>
      <c r="F17">
        <v>50</v>
      </c>
      <c r="H17" s="41" t="s">
        <v>457</v>
      </c>
      <c r="I17">
        <v>26</v>
      </c>
    </row>
    <row r="18" spans="5:9" x14ac:dyDescent="0.2">
      <c r="E18" s="41" t="s">
        <v>447</v>
      </c>
      <c r="F18" s="52">
        <f>(5/50)</f>
        <v>0.1</v>
      </c>
      <c r="H18" s="41" t="s">
        <v>447</v>
      </c>
      <c r="I18" s="52">
        <f>(3+2)/26</f>
        <v>0.19230769230769232</v>
      </c>
    </row>
    <row r="19" spans="5:9" x14ac:dyDescent="0.2">
      <c r="E19" s="41" t="s">
        <v>453</v>
      </c>
      <c r="F19" s="52">
        <f>(2+2)/50</f>
        <v>0.08</v>
      </c>
      <c r="H19" s="41" t="s">
        <v>453</v>
      </c>
      <c r="I19" s="52">
        <f>(3+2)/26</f>
        <v>0.19230769230769232</v>
      </c>
    </row>
    <row r="20" spans="5:9" x14ac:dyDescent="0.2">
      <c r="E20" s="41" t="s">
        <v>391</v>
      </c>
      <c r="F20" s="52">
        <f>(23+17)/50</f>
        <v>0.8</v>
      </c>
      <c r="H20" s="41" t="s">
        <v>391</v>
      </c>
      <c r="I20" s="52">
        <f>(8+8)/26</f>
        <v>0.61538461538461542</v>
      </c>
    </row>
    <row r="28" spans="5:9" x14ac:dyDescent="0.2">
      <c r="E28" s="41" t="s">
        <v>458</v>
      </c>
      <c r="F28">
        <v>234</v>
      </c>
      <c r="H28" s="41" t="s">
        <v>459</v>
      </c>
      <c r="I28">
        <v>238</v>
      </c>
    </row>
    <row r="29" spans="5:9" x14ac:dyDescent="0.2">
      <c r="E29" s="41" t="s">
        <v>447</v>
      </c>
      <c r="F29" s="52">
        <f>79/234</f>
        <v>0.33760683760683763</v>
      </c>
      <c r="H29" s="41" t="s">
        <v>447</v>
      </c>
      <c r="I29" s="52">
        <f>79/238</f>
        <v>0.33193277310924368</v>
      </c>
    </row>
    <row r="30" spans="5:9" x14ac:dyDescent="0.2">
      <c r="E30" s="41" t="s">
        <v>453</v>
      </c>
      <c r="F30" s="52">
        <f>43/234</f>
        <v>0.18376068376068377</v>
      </c>
      <c r="H30" s="41" t="s">
        <v>453</v>
      </c>
      <c r="I30" s="52">
        <f>46/238</f>
        <v>0.19327731092436976</v>
      </c>
    </row>
    <row r="31" spans="5:9" x14ac:dyDescent="0.2">
      <c r="E31" s="41" t="s">
        <v>391</v>
      </c>
      <c r="F31" s="52">
        <f>106/234</f>
        <v>0.45299145299145299</v>
      </c>
      <c r="H31" s="41" t="s">
        <v>391</v>
      </c>
      <c r="I31" s="52">
        <f>109/238</f>
        <v>0.45798319327731091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528"/>
  <sheetViews>
    <sheetView workbookViewId="0">
      <selection activeCell="K31" sqref="K31"/>
    </sheetView>
  </sheetViews>
  <sheetFormatPr baseColWidth="10" defaultColWidth="11" defaultRowHeight="16" x14ac:dyDescent="0.2"/>
  <cols>
    <col min="1" max="1" width="12.83203125" bestFit="1" customWidth="1"/>
    <col min="2" max="2" width="15.5" customWidth="1"/>
    <col min="3" max="3" width="4.6640625" bestFit="1" customWidth="1"/>
    <col min="4" max="4" width="10.6640625" bestFit="1" customWidth="1"/>
    <col min="5" max="5" width="12.83203125" bestFit="1" customWidth="1"/>
    <col min="6" max="7" width="10.6640625" customWidth="1"/>
    <col min="8" max="9" width="4.1640625" customWidth="1"/>
    <col min="10" max="10" width="13" bestFit="1" customWidth="1"/>
    <col min="11" max="12" width="15.5" bestFit="1" customWidth="1"/>
    <col min="13" max="13" width="10.83203125" bestFit="1" customWidth="1"/>
    <col min="14" max="14" width="15.1640625" bestFit="1" customWidth="1"/>
    <col min="15" max="15" width="19.33203125" bestFit="1" customWidth="1"/>
    <col min="16" max="16" width="32.33203125" customWidth="1"/>
    <col min="17" max="17" width="15.5" customWidth="1"/>
    <col min="18" max="18" width="4.1640625" customWidth="1"/>
    <col min="19" max="19" width="10.6640625" customWidth="1"/>
    <col min="20" max="20" width="24.6640625" bestFit="1" customWidth="1"/>
    <col min="21" max="21" width="10.33203125" customWidth="1"/>
    <col min="22" max="22" width="15.83203125" customWidth="1"/>
    <col min="23" max="23" width="6.83203125" customWidth="1"/>
    <col min="24" max="24" width="19.83203125" bestFit="1" customWidth="1"/>
    <col min="25" max="25" width="21.5" bestFit="1" customWidth="1"/>
    <col min="26" max="26" width="12" bestFit="1" customWidth="1"/>
    <col min="27" max="27" width="24.6640625" bestFit="1" customWidth="1"/>
    <col min="28" max="28" width="10.33203125" customWidth="1"/>
    <col min="29" max="29" width="14.6640625" bestFit="1" customWidth="1"/>
    <col min="30" max="30" width="15.83203125" bestFit="1" customWidth="1"/>
    <col min="32" max="32" width="17.83203125" bestFit="1" customWidth="1"/>
    <col min="33" max="33" width="6.6640625" customWidth="1"/>
    <col min="34" max="34" width="10.6640625" customWidth="1"/>
  </cols>
  <sheetData>
    <row r="2" spans="1:19" x14ac:dyDescent="0.2">
      <c r="A2" s="42" t="s">
        <v>359</v>
      </c>
      <c r="B2" s="43"/>
    </row>
    <row r="3" spans="1:19" x14ac:dyDescent="0.2">
      <c r="A3" s="48" t="s">
        <v>360</v>
      </c>
      <c r="B3" s="48" t="s">
        <v>361</v>
      </c>
      <c r="F3" s="49" t="s">
        <v>366</v>
      </c>
      <c r="G3" s="50"/>
      <c r="P3" s="42" t="s">
        <v>367</v>
      </c>
      <c r="Q3" s="42"/>
      <c r="R3" s="43"/>
    </row>
    <row r="4" spans="1:19" x14ac:dyDescent="0.2">
      <c r="A4" s="48" t="s">
        <v>362</v>
      </c>
      <c r="B4" s="44" t="s">
        <v>363</v>
      </c>
      <c r="C4" t="s">
        <v>364</v>
      </c>
      <c r="D4" t="s">
        <v>365</v>
      </c>
      <c r="F4" s="48" t="s">
        <v>360</v>
      </c>
      <c r="G4" s="48" t="s">
        <v>361</v>
      </c>
      <c r="P4" s="48" t="s">
        <v>360</v>
      </c>
      <c r="Q4" s="48" t="s">
        <v>361</v>
      </c>
    </row>
    <row r="5" spans="1:19" x14ac:dyDescent="0.2">
      <c r="A5" s="45" t="s">
        <v>57</v>
      </c>
      <c r="B5" s="46">
        <v>41</v>
      </c>
      <c r="C5" s="46">
        <v>36</v>
      </c>
      <c r="D5" s="46">
        <v>77</v>
      </c>
      <c r="F5" s="48" t="s">
        <v>368</v>
      </c>
      <c r="G5" t="s">
        <v>48</v>
      </c>
      <c r="H5" t="s">
        <v>81</v>
      </c>
      <c r="I5" t="s">
        <v>365</v>
      </c>
      <c r="J5" s="51" t="s">
        <v>369</v>
      </c>
      <c r="P5" s="48" t="s">
        <v>362</v>
      </c>
      <c r="Q5" t="s">
        <v>78</v>
      </c>
      <c r="R5" t="s">
        <v>49</v>
      </c>
      <c r="S5" t="s">
        <v>365</v>
      </c>
    </row>
    <row r="6" spans="1:19" x14ac:dyDescent="0.2">
      <c r="A6" s="47" t="s">
        <v>74</v>
      </c>
      <c r="B6" s="46">
        <v>20</v>
      </c>
      <c r="C6" s="46">
        <v>18</v>
      </c>
      <c r="D6" s="46">
        <v>38</v>
      </c>
      <c r="F6" s="45">
        <v>1</v>
      </c>
      <c r="G6" s="46">
        <v>194</v>
      </c>
      <c r="H6" s="46">
        <v>47</v>
      </c>
      <c r="I6" s="46">
        <v>241</v>
      </c>
      <c r="J6" s="52">
        <f>GETPIVOTDATA("no",$F$4,"dostanie 50gr/1zł ?",1,"wziął 50gr/1zł?","TAK")/GETPIVOTDATA("no",$F$4,"dostanie 50gr/1zł ?",1)</f>
        <v>0.19502074688796681</v>
      </c>
      <c r="P6" s="45" t="s">
        <v>57</v>
      </c>
      <c r="Q6" s="46">
        <v>19</v>
      </c>
      <c r="R6" s="46">
        <v>26</v>
      </c>
      <c r="S6" s="46">
        <v>45</v>
      </c>
    </row>
    <row r="7" spans="1:19" x14ac:dyDescent="0.2">
      <c r="A7" s="47" t="s">
        <v>45</v>
      </c>
      <c r="B7" s="46">
        <v>21</v>
      </c>
      <c r="C7" s="46">
        <v>18</v>
      </c>
      <c r="D7" s="46">
        <v>39</v>
      </c>
      <c r="F7" s="45">
        <v>50</v>
      </c>
      <c r="G7" s="46">
        <v>202</v>
      </c>
      <c r="H7" s="46">
        <v>29</v>
      </c>
      <c r="I7" s="46">
        <v>231</v>
      </c>
      <c r="J7" s="52">
        <f>GETPIVOTDATA("no",$F$4,"dostanie 50gr/1zł ?",50,"wziął 50gr/1zł?","TAK")/GETPIVOTDATA("no",$F$4,"dostanie 50gr/1zł ?",50)</f>
        <v>0.12554112554112554</v>
      </c>
      <c r="P7" s="47" t="s">
        <v>74</v>
      </c>
      <c r="Q7" s="46">
        <v>9</v>
      </c>
      <c r="R7" s="46">
        <v>12</v>
      </c>
      <c r="S7" s="46">
        <v>21</v>
      </c>
    </row>
    <row r="8" spans="1:19" x14ac:dyDescent="0.2">
      <c r="A8" s="45" t="s">
        <v>68</v>
      </c>
      <c r="B8" s="46">
        <v>38</v>
      </c>
      <c r="C8" s="46">
        <v>40</v>
      </c>
      <c r="D8" s="46">
        <v>78</v>
      </c>
      <c r="F8" s="45" t="s">
        <v>365</v>
      </c>
      <c r="G8" s="46">
        <v>396</v>
      </c>
      <c r="H8" s="46">
        <v>76</v>
      </c>
      <c r="I8" s="46">
        <v>472</v>
      </c>
      <c r="P8" s="53">
        <v>1</v>
      </c>
      <c r="Q8" s="46">
        <v>5</v>
      </c>
      <c r="R8" s="46">
        <v>6</v>
      </c>
      <c r="S8" s="46">
        <v>11</v>
      </c>
    </row>
    <row r="9" spans="1:19" x14ac:dyDescent="0.2">
      <c r="A9" s="47" t="s">
        <v>74</v>
      </c>
      <c r="B9" s="46">
        <v>20</v>
      </c>
      <c r="C9" s="46">
        <v>20</v>
      </c>
      <c r="D9" s="46">
        <v>40</v>
      </c>
      <c r="P9" s="54">
        <v>14</v>
      </c>
      <c r="Q9" s="46">
        <v>3</v>
      </c>
      <c r="R9" s="46">
        <v>3</v>
      </c>
      <c r="S9" s="46">
        <v>6</v>
      </c>
    </row>
    <row r="10" spans="1:19" x14ac:dyDescent="0.2">
      <c r="A10" s="47" t="s">
        <v>45</v>
      </c>
      <c r="B10" s="46">
        <v>18</v>
      </c>
      <c r="C10" s="46">
        <v>20</v>
      </c>
      <c r="D10" s="46">
        <v>38</v>
      </c>
      <c r="P10" s="55" t="s">
        <v>211</v>
      </c>
      <c r="Q10" s="46"/>
      <c r="R10" s="46"/>
      <c r="S10" s="46"/>
    </row>
    <row r="11" spans="1:19" x14ac:dyDescent="0.2">
      <c r="A11" s="45" t="s">
        <v>44</v>
      </c>
      <c r="B11" s="46">
        <v>37</v>
      </c>
      <c r="C11" s="46">
        <v>44</v>
      </c>
      <c r="D11" s="46">
        <v>81</v>
      </c>
      <c r="P11" s="55" t="s">
        <v>199</v>
      </c>
      <c r="Q11" s="46"/>
      <c r="R11" s="46"/>
      <c r="S11" s="46"/>
    </row>
    <row r="12" spans="1:19" x14ac:dyDescent="0.2">
      <c r="A12" s="47" t="s">
        <v>74</v>
      </c>
      <c r="B12" s="46">
        <v>15</v>
      </c>
      <c r="C12" s="46">
        <v>25</v>
      </c>
      <c r="D12" s="46">
        <v>40</v>
      </c>
      <c r="P12" s="55" t="s">
        <v>118</v>
      </c>
      <c r="Q12" s="46">
        <v>3</v>
      </c>
      <c r="R12" s="46">
        <v>2</v>
      </c>
      <c r="S12" s="46">
        <v>5</v>
      </c>
    </row>
    <row r="13" spans="1:19" x14ac:dyDescent="0.2">
      <c r="A13" s="47" t="s">
        <v>45</v>
      </c>
      <c r="B13" s="46">
        <v>22</v>
      </c>
      <c r="C13" s="46">
        <v>19</v>
      </c>
      <c r="D13" s="46">
        <v>41</v>
      </c>
      <c r="P13" s="55" t="s">
        <v>181</v>
      </c>
      <c r="Q13" s="46"/>
      <c r="R13" s="46"/>
      <c r="S13" s="46"/>
    </row>
    <row r="14" spans="1:19" x14ac:dyDescent="0.2">
      <c r="A14" s="45" t="s">
        <v>60</v>
      </c>
      <c r="B14" s="46">
        <v>41</v>
      </c>
      <c r="C14" s="46">
        <v>36</v>
      </c>
      <c r="D14" s="46">
        <v>77</v>
      </c>
      <c r="F14" s="42" t="s">
        <v>370</v>
      </c>
      <c r="G14" s="43"/>
      <c r="P14" s="55" t="s">
        <v>71</v>
      </c>
      <c r="Q14" s="46"/>
      <c r="R14" s="46">
        <v>1</v>
      </c>
      <c r="S14" s="46">
        <v>1</v>
      </c>
    </row>
    <row r="15" spans="1:19" x14ac:dyDescent="0.2">
      <c r="A15" s="47" t="s">
        <v>74</v>
      </c>
      <c r="B15" s="46">
        <v>19</v>
      </c>
      <c r="C15" s="46">
        <v>18</v>
      </c>
      <c r="D15" s="46">
        <v>37</v>
      </c>
      <c r="F15" s="48" t="s">
        <v>360</v>
      </c>
      <c r="G15" s="48" t="s">
        <v>371</v>
      </c>
      <c r="L15" s="56"/>
      <c r="P15" s="55" t="s">
        <v>52</v>
      </c>
      <c r="Q15" s="46"/>
      <c r="R15" s="46"/>
      <c r="S15" s="46"/>
    </row>
    <row r="16" spans="1:19" x14ac:dyDescent="0.2">
      <c r="A16" s="47" t="s">
        <v>45</v>
      </c>
      <c r="B16" s="46">
        <v>22</v>
      </c>
      <c r="C16" s="46">
        <v>18</v>
      </c>
      <c r="D16" s="46">
        <v>40</v>
      </c>
      <c r="F16" s="48" t="s">
        <v>372</v>
      </c>
      <c r="G16">
        <v>0</v>
      </c>
      <c r="H16" s="44" t="s">
        <v>50</v>
      </c>
      <c r="I16" s="44" t="s">
        <v>78</v>
      </c>
      <c r="J16" s="44" t="s">
        <v>49</v>
      </c>
      <c r="K16" t="s">
        <v>365</v>
      </c>
      <c r="L16" s="57" t="s">
        <v>373</v>
      </c>
      <c r="M16" s="58" t="s">
        <v>374</v>
      </c>
      <c r="N16" s="58" t="s">
        <v>375</v>
      </c>
      <c r="P16" s="55" t="s">
        <v>84</v>
      </c>
      <c r="Q16" s="46"/>
      <c r="R16" s="46"/>
      <c r="S16" s="46"/>
    </row>
    <row r="17" spans="1:19" x14ac:dyDescent="0.2">
      <c r="A17" s="45" t="s">
        <v>64</v>
      </c>
      <c r="B17" s="46">
        <v>43</v>
      </c>
      <c r="C17" s="46">
        <v>36</v>
      </c>
      <c r="D17" s="46">
        <v>79</v>
      </c>
      <c r="F17" s="45" t="s">
        <v>78</v>
      </c>
      <c r="G17" s="46">
        <v>6</v>
      </c>
      <c r="H17" s="46">
        <v>106</v>
      </c>
      <c r="I17" s="46">
        <v>43</v>
      </c>
      <c r="J17" s="46">
        <v>79</v>
      </c>
      <c r="K17" s="46">
        <v>234</v>
      </c>
      <c r="L17" s="59">
        <f>GETPIVOTDATA("no",treatments!$F$15,"3x orzeł (H)/reszka (T)?","H","to za 4tym: H/T/B/0","T")/GETPIVOTDATA("no",treatments!$F$15,"3x orzeł (H)/reszka (T)?","H")</f>
        <v>0.33760683760683763</v>
      </c>
      <c r="M17" s="52">
        <f>GETPIVOTDATA("no",treatments!$F$15,"3x orzeł (H)/reszka (T)?","H","to za 4tym: H/T/B/0","H")/GETPIVOTDATA("no",treatments!$F$15,"3x orzeł (H)/reszka (T)?","H")</f>
        <v>0.18376068376068377</v>
      </c>
      <c r="N17" s="52">
        <f>GETPIVOTDATA("no",treatments!$F$15,"3x orzeł (H)/reszka (T)?","H","to za 4tym: H/T/B/0","B")/GETPIVOTDATA("no",treatments!$F$15,"3x orzeł (H)/reszka (T)?","H")</f>
        <v>0.45299145299145299</v>
      </c>
      <c r="P17" s="55" t="s">
        <v>139</v>
      </c>
      <c r="Q17" s="46"/>
      <c r="R17" s="46"/>
      <c r="S17" s="46"/>
    </row>
    <row r="18" spans="1:19" ht="17" thickBot="1" x14ac:dyDescent="0.25">
      <c r="A18" s="47" t="s">
        <v>74</v>
      </c>
      <c r="B18" s="46">
        <v>19</v>
      </c>
      <c r="C18" s="46">
        <v>19</v>
      </c>
      <c r="D18" s="46">
        <v>38</v>
      </c>
      <c r="F18" s="45" t="s">
        <v>49</v>
      </c>
      <c r="G18" s="46">
        <v>4</v>
      </c>
      <c r="H18" s="46">
        <v>109</v>
      </c>
      <c r="I18" s="46">
        <v>79</v>
      </c>
      <c r="J18" s="46">
        <v>46</v>
      </c>
      <c r="K18" s="46">
        <v>238</v>
      </c>
      <c r="L18" s="60">
        <f>GETPIVOTDATA("no",treatments!$F$15,"3x orzeł (H)/reszka (T)?","T","to za 4tym: H/T/B/0","H")/GETPIVOTDATA("no",treatments!$F$15,"3x orzeł (H)/reszka (T)?","T")</f>
        <v>0.33193277310924368</v>
      </c>
      <c r="M18" s="61">
        <f>GETPIVOTDATA("no",treatments!$F$15,"3x orzeł (H)/reszka (T)?","T","to za 4tym: H/T/B/0","T")/GETPIVOTDATA("no",treatments!$F$15,"3x orzeł (H)/reszka (T)?","T")</f>
        <v>0.19327731092436976</v>
      </c>
      <c r="N18" s="61">
        <f>GETPIVOTDATA("no",treatments!$F$15,"3x orzeł (H)/reszka (T)?","T","to za 4tym: H/T/B/0","B")/GETPIVOTDATA("no",treatments!$F$15,"3x orzeł (H)/reszka (T)?","T")</f>
        <v>0.45798319327731091</v>
      </c>
      <c r="P18" s="55" t="s">
        <v>102</v>
      </c>
      <c r="Q18" s="46"/>
      <c r="R18" s="46"/>
      <c r="S18" s="46"/>
    </row>
    <row r="19" spans="1:19" ht="17" thickTop="1" x14ac:dyDescent="0.2">
      <c r="A19" s="47" t="s">
        <v>45</v>
      </c>
      <c r="B19" s="46">
        <v>24</v>
      </c>
      <c r="C19" s="46">
        <v>17</v>
      </c>
      <c r="D19" s="46">
        <v>41</v>
      </c>
      <c r="F19" s="45" t="s">
        <v>365</v>
      </c>
      <c r="G19" s="46">
        <v>10</v>
      </c>
      <c r="H19" s="46">
        <v>215</v>
      </c>
      <c r="I19" s="46">
        <v>122</v>
      </c>
      <c r="J19" s="46">
        <v>125</v>
      </c>
      <c r="K19" s="46">
        <v>472</v>
      </c>
      <c r="L19" s="59">
        <f>AVERAGE(L17:L18)</f>
        <v>0.33476980535804068</v>
      </c>
      <c r="M19" s="62">
        <f>AVERAGE(M17:M18)</f>
        <v>0.18851899734252675</v>
      </c>
      <c r="N19" s="62">
        <f>AVERAGE(N17:N18)</f>
        <v>0.45548732313438195</v>
      </c>
      <c r="P19" s="54">
        <v>21</v>
      </c>
      <c r="Q19" s="46">
        <v>2</v>
      </c>
      <c r="R19" s="46">
        <v>3</v>
      </c>
      <c r="S19" s="46">
        <v>5</v>
      </c>
    </row>
    <row r="20" spans="1:19" x14ac:dyDescent="0.2">
      <c r="A20" s="45" t="s">
        <v>70</v>
      </c>
      <c r="B20" s="46">
        <v>41</v>
      </c>
      <c r="C20" s="46">
        <v>39</v>
      </c>
      <c r="D20" s="46">
        <v>80</v>
      </c>
      <c r="P20" s="55" t="s">
        <v>211</v>
      </c>
      <c r="Q20" s="46"/>
      <c r="R20" s="46"/>
      <c r="S20" s="46"/>
    </row>
    <row r="21" spans="1:19" x14ac:dyDescent="0.2">
      <c r="A21" s="47" t="s">
        <v>74</v>
      </c>
      <c r="B21" s="46">
        <v>21</v>
      </c>
      <c r="C21" s="46">
        <v>20</v>
      </c>
      <c r="D21" s="46">
        <v>41</v>
      </c>
      <c r="L21">
        <f>79+79</f>
        <v>158</v>
      </c>
      <c r="M21">
        <f>43+46</f>
        <v>89</v>
      </c>
      <c r="N21" s="209">
        <f>106+109</f>
        <v>215</v>
      </c>
      <c r="P21" s="55" t="s">
        <v>199</v>
      </c>
      <c r="Q21" s="46"/>
      <c r="R21" s="46"/>
      <c r="S21" s="46"/>
    </row>
    <row r="22" spans="1:19" x14ac:dyDescent="0.2">
      <c r="A22" s="47" t="s">
        <v>45</v>
      </c>
      <c r="B22" s="46">
        <v>20</v>
      </c>
      <c r="C22" s="46">
        <v>19</v>
      </c>
      <c r="D22" s="46">
        <v>39</v>
      </c>
      <c r="L22" s="52">
        <f>(79+79)/472</f>
        <v>0.3347457627118644</v>
      </c>
      <c r="M22" s="52">
        <f>(43+46)/472</f>
        <v>0.1885593220338983</v>
      </c>
      <c r="N22" s="52">
        <f>(106+109)/472</f>
        <v>0.45550847457627119</v>
      </c>
      <c r="P22" s="55" t="s">
        <v>118</v>
      </c>
      <c r="Q22" s="46">
        <v>2</v>
      </c>
      <c r="R22" s="46">
        <v>2</v>
      </c>
      <c r="S22" s="46">
        <v>4</v>
      </c>
    </row>
    <row r="23" spans="1:19" x14ac:dyDescent="0.2">
      <c r="A23" s="45" t="s">
        <v>365</v>
      </c>
      <c r="B23" s="46">
        <v>241</v>
      </c>
      <c r="C23" s="46">
        <v>231</v>
      </c>
      <c r="D23" s="46">
        <v>472</v>
      </c>
      <c r="F23" s="49" t="s">
        <v>376</v>
      </c>
      <c r="G23" s="50"/>
      <c r="J23" s="49" t="s">
        <v>19</v>
      </c>
      <c r="P23" s="55" t="s">
        <v>181</v>
      </c>
      <c r="Q23" s="46"/>
      <c r="R23" s="46"/>
      <c r="S23" s="46"/>
    </row>
    <row r="24" spans="1:19" x14ac:dyDescent="0.2">
      <c r="F24" s="48" t="s">
        <v>362</v>
      </c>
      <c r="G24" t="s">
        <v>360</v>
      </c>
      <c r="J24" s="48" t="s">
        <v>362</v>
      </c>
      <c r="K24" t="s">
        <v>360</v>
      </c>
      <c r="N24">
        <f>L21+M21+N21</f>
        <v>462</v>
      </c>
      <c r="P24" s="55" t="s">
        <v>71</v>
      </c>
      <c r="Q24" s="46"/>
      <c r="R24" s="46">
        <v>1</v>
      </c>
      <c r="S24" s="46">
        <v>1</v>
      </c>
    </row>
    <row r="25" spans="1:19" x14ac:dyDescent="0.2">
      <c r="F25" s="45">
        <v>14</v>
      </c>
      <c r="G25" s="46">
        <v>238</v>
      </c>
      <c r="J25" s="45" t="s">
        <v>58</v>
      </c>
      <c r="K25" s="46">
        <v>248</v>
      </c>
      <c r="P25" s="55" t="s">
        <v>52</v>
      </c>
      <c r="Q25" s="46"/>
      <c r="R25" s="46"/>
      <c r="S25" s="46"/>
    </row>
    <row r="26" spans="1:19" x14ac:dyDescent="0.2">
      <c r="A26" s="42" t="s">
        <v>377</v>
      </c>
      <c r="F26" s="45">
        <v>21</v>
      </c>
      <c r="G26" s="46">
        <v>234</v>
      </c>
      <c r="J26" s="45" t="s">
        <v>46</v>
      </c>
      <c r="K26" s="46">
        <v>224</v>
      </c>
      <c r="P26" s="55" t="s">
        <v>84</v>
      </c>
      <c r="Q26" s="46"/>
      <c r="R26" s="46"/>
      <c r="S26" s="46"/>
    </row>
    <row r="27" spans="1:19" x14ac:dyDescent="0.2">
      <c r="A27" s="48" t="s">
        <v>362</v>
      </c>
      <c r="B27" t="s">
        <v>360</v>
      </c>
      <c r="F27" s="45" t="s">
        <v>365</v>
      </c>
      <c r="G27" s="46">
        <v>472</v>
      </c>
      <c r="J27" s="45" t="s">
        <v>365</v>
      </c>
      <c r="K27" s="46">
        <v>472</v>
      </c>
      <c r="P27" s="55" t="s">
        <v>139</v>
      </c>
      <c r="Q27" s="46"/>
      <c r="R27" s="46"/>
      <c r="S27" s="46"/>
    </row>
    <row r="28" spans="1:19" x14ac:dyDescent="0.2">
      <c r="A28" s="45" t="s">
        <v>57</v>
      </c>
      <c r="B28" s="46">
        <v>77</v>
      </c>
      <c r="P28" s="55" t="s">
        <v>102</v>
      </c>
      <c r="Q28" s="46"/>
      <c r="R28" s="46"/>
      <c r="S28" s="46"/>
    </row>
    <row r="29" spans="1:19" x14ac:dyDescent="0.2">
      <c r="A29" s="47" t="s">
        <v>78</v>
      </c>
      <c r="B29" s="46">
        <v>38</v>
      </c>
      <c r="P29" s="53">
        <v>50</v>
      </c>
      <c r="Q29" s="46">
        <v>4</v>
      </c>
      <c r="R29" s="46">
        <v>6</v>
      </c>
      <c r="S29" s="46">
        <v>10</v>
      </c>
    </row>
    <row r="30" spans="1:19" x14ac:dyDescent="0.2">
      <c r="A30" s="47" t="s">
        <v>49</v>
      </c>
      <c r="B30" s="46">
        <v>39</v>
      </c>
      <c r="P30" s="54">
        <v>14</v>
      </c>
      <c r="Q30" s="46">
        <v>1</v>
      </c>
      <c r="R30" s="46">
        <v>4</v>
      </c>
      <c r="S30" s="46">
        <v>5</v>
      </c>
    </row>
    <row r="31" spans="1:19" x14ac:dyDescent="0.2">
      <c r="A31" s="45" t="s">
        <v>68</v>
      </c>
      <c r="B31" s="46">
        <v>78</v>
      </c>
      <c r="E31" s="42" t="s">
        <v>378</v>
      </c>
      <c r="P31" s="55" t="s">
        <v>211</v>
      </c>
      <c r="Q31" s="46"/>
      <c r="R31" s="46"/>
      <c r="S31" s="46"/>
    </row>
    <row r="32" spans="1:19" x14ac:dyDescent="0.2">
      <c r="A32" s="47" t="s">
        <v>78</v>
      </c>
      <c r="B32" s="46">
        <v>38</v>
      </c>
      <c r="E32" s="48" t="s">
        <v>362</v>
      </c>
      <c r="F32" t="s">
        <v>360</v>
      </c>
      <c r="P32" s="55" t="s">
        <v>199</v>
      </c>
      <c r="Q32" s="46"/>
      <c r="R32" s="46"/>
      <c r="S32" s="46"/>
    </row>
    <row r="33" spans="1:19" x14ac:dyDescent="0.2">
      <c r="A33" s="47" t="s">
        <v>49</v>
      </c>
      <c r="B33" s="46">
        <v>40</v>
      </c>
      <c r="E33" s="45" t="s">
        <v>57</v>
      </c>
      <c r="F33" s="46">
        <v>77</v>
      </c>
      <c r="P33" s="55" t="s">
        <v>118</v>
      </c>
      <c r="Q33" s="46">
        <v>1</v>
      </c>
      <c r="R33" s="46">
        <v>3</v>
      </c>
      <c r="S33" s="46">
        <v>4</v>
      </c>
    </row>
    <row r="34" spans="1:19" x14ac:dyDescent="0.2">
      <c r="A34" s="45" t="s">
        <v>44</v>
      </c>
      <c r="B34" s="46">
        <v>81</v>
      </c>
      <c r="E34" s="47">
        <v>14</v>
      </c>
      <c r="F34" s="46">
        <v>38</v>
      </c>
      <c r="J34" s="49" t="s">
        <v>379</v>
      </c>
      <c r="P34" s="55" t="s">
        <v>181</v>
      </c>
      <c r="Q34" s="46"/>
      <c r="R34" s="46"/>
      <c r="S34" s="46"/>
    </row>
    <row r="35" spans="1:19" x14ac:dyDescent="0.2">
      <c r="A35" s="47" t="s">
        <v>78</v>
      </c>
      <c r="B35" s="46">
        <v>42</v>
      </c>
      <c r="E35" s="47">
        <v>21</v>
      </c>
      <c r="F35" s="46">
        <v>39</v>
      </c>
      <c r="J35" s="48" t="s">
        <v>360</v>
      </c>
      <c r="K35" s="48" t="s">
        <v>361</v>
      </c>
      <c r="P35" s="55" t="s">
        <v>71</v>
      </c>
      <c r="Q35" s="46"/>
      <c r="R35" s="46">
        <v>1</v>
      </c>
      <c r="S35" s="46">
        <v>1</v>
      </c>
    </row>
    <row r="36" spans="1:19" x14ac:dyDescent="0.2">
      <c r="A36" s="47" t="s">
        <v>49</v>
      </c>
      <c r="B36" s="46">
        <v>39</v>
      </c>
      <c r="E36" s="45" t="s">
        <v>68</v>
      </c>
      <c r="F36" s="46">
        <v>78</v>
      </c>
      <c r="J36" s="48" t="s">
        <v>362</v>
      </c>
      <c r="K36">
        <v>14</v>
      </c>
      <c r="L36">
        <v>21</v>
      </c>
      <c r="M36" t="s">
        <v>365</v>
      </c>
      <c r="P36" s="55" t="s">
        <v>52</v>
      </c>
      <c r="Q36" s="46"/>
      <c r="R36" s="46"/>
      <c r="S36" s="46"/>
    </row>
    <row r="37" spans="1:19" x14ac:dyDescent="0.2">
      <c r="A37" s="45" t="s">
        <v>60</v>
      </c>
      <c r="B37" s="46">
        <v>77</v>
      </c>
      <c r="E37" s="47">
        <v>14</v>
      </c>
      <c r="F37" s="46">
        <v>38</v>
      </c>
      <c r="J37" s="45" t="s">
        <v>118</v>
      </c>
      <c r="K37" s="46">
        <v>108</v>
      </c>
      <c r="L37" s="46">
        <v>106</v>
      </c>
      <c r="M37" s="46">
        <v>214</v>
      </c>
      <c r="P37" s="55" t="s">
        <v>84</v>
      </c>
      <c r="Q37" s="46"/>
      <c r="R37" s="46"/>
      <c r="S37" s="46"/>
    </row>
    <row r="38" spans="1:19" x14ac:dyDescent="0.2">
      <c r="A38" s="47" t="s">
        <v>78</v>
      </c>
      <c r="B38" s="46">
        <v>36</v>
      </c>
      <c r="E38" s="47">
        <v>21</v>
      </c>
      <c r="F38" s="46">
        <v>40</v>
      </c>
      <c r="J38" s="45" t="s">
        <v>71</v>
      </c>
      <c r="K38" s="46">
        <v>22</v>
      </c>
      <c r="L38" s="46">
        <v>29</v>
      </c>
      <c r="M38" s="46">
        <v>51</v>
      </c>
      <c r="P38" s="55" t="s">
        <v>139</v>
      </c>
      <c r="Q38" s="46"/>
      <c r="R38" s="46"/>
      <c r="S38" s="46"/>
    </row>
    <row r="39" spans="1:19" x14ac:dyDescent="0.2">
      <c r="A39" s="47" t="s">
        <v>49</v>
      </c>
      <c r="B39" s="46">
        <v>41</v>
      </c>
      <c r="E39" s="45" t="s">
        <v>44</v>
      </c>
      <c r="F39" s="46">
        <v>81</v>
      </c>
      <c r="J39" s="45" t="s">
        <v>411</v>
      </c>
      <c r="K39" s="46">
        <v>33</v>
      </c>
      <c r="L39" s="46">
        <v>34</v>
      </c>
      <c r="M39" s="46">
        <v>67</v>
      </c>
      <c r="P39" s="55" t="s">
        <v>102</v>
      </c>
      <c r="Q39" s="46"/>
      <c r="R39" s="46"/>
      <c r="S39" s="46"/>
    </row>
    <row r="40" spans="1:19" x14ac:dyDescent="0.2">
      <c r="A40" s="45" t="s">
        <v>64</v>
      </c>
      <c r="B40" s="46">
        <v>79</v>
      </c>
      <c r="E40" s="47">
        <v>14</v>
      </c>
      <c r="F40" s="46">
        <v>45</v>
      </c>
      <c r="J40" s="45" t="s">
        <v>406</v>
      </c>
      <c r="K40" s="46">
        <v>5</v>
      </c>
      <c r="L40" s="46">
        <v>8</v>
      </c>
      <c r="M40" s="46">
        <v>13</v>
      </c>
      <c r="P40" s="54">
        <v>21</v>
      </c>
      <c r="Q40" s="46">
        <v>3</v>
      </c>
      <c r="R40" s="46">
        <v>2</v>
      </c>
      <c r="S40" s="46">
        <v>5</v>
      </c>
    </row>
    <row r="41" spans="1:19" x14ac:dyDescent="0.2">
      <c r="A41" s="47" t="s">
        <v>78</v>
      </c>
      <c r="B41" s="46">
        <v>42</v>
      </c>
      <c r="E41" s="47">
        <v>21</v>
      </c>
      <c r="F41" s="46">
        <v>36</v>
      </c>
      <c r="J41" s="45" t="s">
        <v>407</v>
      </c>
      <c r="K41" s="46"/>
      <c r="L41" s="46">
        <v>13</v>
      </c>
      <c r="M41" s="46">
        <v>13</v>
      </c>
      <c r="P41" s="55" t="s">
        <v>211</v>
      </c>
      <c r="Q41" s="46"/>
      <c r="R41" s="46"/>
      <c r="S41" s="46"/>
    </row>
    <row r="42" spans="1:19" x14ac:dyDescent="0.2">
      <c r="A42" s="47" t="s">
        <v>49</v>
      </c>
      <c r="B42" s="46">
        <v>37</v>
      </c>
      <c r="E42" s="45" t="s">
        <v>60</v>
      </c>
      <c r="F42" s="46">
        <v>77</v>
      </c>
      <c r="J42" s="45" t="s">
        <v>408</v>
      </c>
      <c r="K42" s="46">
        <v>8</v>
      </c>
      <c r="L42" s="46">
        <v>12</v>
      </c>
      <c r="M42" s="46">
        <v>20</v>
      </c>
      <c r="P42" s="55" t="s">
        <v>199</v>
      </c>
      <c r="Q42" s="46"/>
      <c r="R42" s="46"/>
      <c r="S42" s="46"/>
    </row>
    <row r="43" spans="1:19" x14ac:dyDescent="0.2">
      <c r="A43" s="45" t="s">
        <v>70</v>
      </c>
      <c r="B43" s="46">
        <v>80</v>
      </c>
      <c r="E43" s="47">
        <v>14</v>
      </c>
      <c r="F43" s="46">
        <v>38</v>
      </c>
      <c r="J43" s="45" t="s">
        <v>409</v>
      </c>
      <c r="K43" s="46"/>
      <c r="L43" s="46">
        <v>32</v>
      </c>
      <c r="M43" s="46">
        <v>32</v>
      </c>
      <c r="P43" s="55" t="s">
        <v>118</v>
      </c>
      <c r="Q43" s="46">
        <v>3</v>
      </c>
      <c r="R43" s="46">
        <v>1</v>
      </c>
      <c r="S43" s="46">
        <v>4</v>
      </c>
    </row>
    <row r="44" spans="1:19" x14ac:dyDescent="0.2">
      <c r="A44" s="47" t="s">
        <v>78</v>
      </c>
      <c r="B44" s="46">
        <v>38</v>
      </c>
      <c r="E44" s="47">
        <v>21</v>
      </c>
      <c r="F44" s="46">
        <v>39</v>
      </c>
      <c r="J44" s="45" t="s">
        <v>410</v>
      </c>
      <c r="K44" s="46">
        <v>19</v>
      </c>
      <c r="L44" s="46"/>
      <c r="M44" s="46">
        <v>19</v>
      </c>
      <c r="P44" s="55" t="s">
        <v>181</v>
      </c>
      <c r="Q44" s="46"/>
      <c r="R44" s="46"/>
      <c r="S44" s="46"/>
    </row>
    <row r="45" spans="1:19" x14ac:dyDescent="0.2">
      <c r="A45" s="47" t="s">
        <v>49</v>
      </c>
      <c r="B45" s="46">
        <v>42</v>
      </c>
      <c r="E45" s="45" t="s">
        <v>64</v>
      </c>
      <c r="F45" s="46">
        <v>79</v>
      </c>
      <c r="J45" s="45" t="s">
        <v>405</v>
      </c>
      <c r="K45" s="46">
        <v>43</v>
      </c>
      <c r="L45" s="46"/>
      <c r="M45" s="46">
        <v>43</v>
      </c>
      <c r="P45" s="55" t="s">
        <v>71</v>
      </c>
      <c r="Q45" s="46"/>
      <c r="R45" s="46">
        <v>1</v>
      </c>
      <c r="S45" s="46">
        <v>1</v>
      </c>
    </row>
    <row r="46" spans="1:19" x14ac:dyDescent="0.2">
      <c r="A46" s="45" t="s">
        <v>365</v>
      </c>
      <c r="B46" s="46">
        <v>472</v>
      </c>
      <c r="E46" s="47">
        <v>14</v>
      </c>
      <c r="F46" s="46">
        <v>40</v>
      </c>
      <c r="J46" s="45" t="s">
        <v>365</v>
      </c>
      <c r="K46" s="46">
        <v>238</v>
      </c>
      <c r="L46" s="46">
        <v>234</v>
      </c>
      <c r="M46" s="46">
        <v>472</v>
      </c>
      <c r="P46" s="55" t="s">
        <v>52</v>
      </c>
      <c r="Q46" s="46"/>
      <c r="R46" s="46"/>
      <c r="S46" s="46"/>
    </row>
    <row r="47" spans="1:19" x14ac:dyDescent="0.2">
      <c r="E47" s="47">
        <v>21</v>
      </c>
      <c r="F47" s="46">
        <v>39</v>
      </c>
      <c r="P47" s="55" t="s">
        <v>84</v>
      </c>
      <c r="Q47" s="46"/>
      <c r="R47" s="46"/>
      <c r="S47" s="46"/>
    </row>
    <row r="48" spans="1:19" x14ac:dyDescent="0.2">
      <c r="E48" s="45" t="s">
        <v>70</v>
      </c>
      <c r="F48" s="46">
        <v>80</v>
      </c>
      <c r="P48" s="55" t="s">
        <v>139</v>
      </c>
      <c r="Q48" s="46"/>
      <c r="R48" s="46"/>
      <c r="S48" s="46"/>
    </row>
    <row r="49" spans="5:19" x14ac:dyDescent="0.2">
      <c r="E49" s="47">
        <v>14</v>
      </c>
      <c r="F49" s="46">
        <v>39</v>
      </c>
      <c r="P49" s="55" t="s">
        <v>102</v>
      </c>
      <c r="Q49" s="46"/>
      <c r="R49" s="46"/>
      <c r="S49" s="46"/>
    </row>
    <row r="50" spans="5:19" x14ac:dyDescent="0.2">
      <c r="E50" s="47">
        <v>21</v>
      </c>
      <c r="F50" s="46">
        <v>41</v>
      </c>
      <c r="P50" s="47" t="s">
        <v>45</v>
      </c>
      <c r="Q50" s="46">
        <v>10</v>
      </c>
      <c r="R50" s="46">
        <v>14</v>
      </c>
      <c r="S50" s="46">
        <v>24</v>
      </c>
    </row>
    <row r="51" spans="5:19" x14ac:dyDescent="0.2">
      <c r="E51" s="45" t="s">
        <v>365</v>
      </c>
      <c r="F51" s="46">
        <v>472</v>
      </c>
      <c r="P51" s="53">
        <v>1</v>
      </c>
      <c r="Q51" s="46">
        <v>5</v>
      </c>
      <c r="R51" s="46">
        <v>9</v>
      </c>
      <c r="S51" s="46">
        <v>14</v>
      </c>
    </row>
    <row r="52" spans="5:19" x14ac:dyDescent="0.2">
      <c r="P52" s="54">
        <v>14</v>
      </c>
      <c r="Q52" s="46">
        <v>2</v>
      </c>
      <c r="R52" s="46">
        <v>6</v>
      </c>
      <c r="S52" s="46">
        <v>8</v>
      </c>
    </row>
    <row r="53" spans="5:19" x14ac:dyDescent="0.2">
      <c r="P53" s="55" t="s">
        <v>211</v>
      </c>
      <c r="Q53" s="46"/>
      <c r="R53" s="46"/>
      <c r="S53" s="46"/>
    </row>
    <row r="54" spans="5:19" x14ac:dyDescent="0.2">
      <c r="P54" s="55" t="s">
        <v>199</v>
      </c>
      <c r="Q54" s="46"/>
      <c r="R54" s="46"/>
      <c r="S54" s="46"/>
    </row>
    <row r="55" spans="5:19" x14ac:dyDescent="0.2">
      <c r="P55" s="55" t="s">
        <v>118</v>
      </c>
      <c r="Q55" s="46">
        <v>1</v>
      </c>
      <c r="R55" s="46">
        <v>6</v>
      </c>
      <c r="S55" s="46">
        <v>7</v>
      </c>
    </row>
    <row r="56" spans="5:19" x14ac:dyDescent="0.2">
      <c r="P56" s="55" t="s">
        <v>181</v>
      </c>
      <c r="Q56" s="46"/>
      <c r="R56" s="46"/>
      <c r="S56" s="46"/>
    </row>
    <row r="57" spans="5:19" x14ac:dyDescent="0.2">
      <c r="P57" s="55" t="s">
        <v>71</v>
      </c>
      <c r="Q57" s="46">
        <v>1</v>
      </c>
      <c r="R57" s="46"/>
      <c r="S57" s="46">
        <v>1</v>
      </c>
    </row>
    <row r="58" spans="5:19" x14ac:dyDescent="0.2">
      <c r="P58" s="55" t="s">
        <v>52</v>
      </c>
      <c r="Q58" s="46"/>
      <c r="R58" s="46"/>
      <c r="S58" s="46"/>
    </row>
    <row r="59" spans="5:19" x14ac:dyDescent="0.2">
      <c r="P59" s="55" t="s">
        <v>84</v>
      </c>
      <c r="Q59" s="46"/>
      <c r="R59" s="46"/>
      <c r="S59" s="46"/>
    </row>
    <row r="60" spans="5:19" x14ac:dyDescent="0.2">
      <c r="P60" s="55" t="s">
        <v>139</v>
      </c>
      <c r="Q60" s="46"/>
      <c r="R60" s="46"/>
      <c r="S60" s="46"/>
    </row>
    <row r="61" spans="5:19" x14ac:dyDescent="0.2">
      <c r="P61" s="55" t="s">
        <v>102</v>
      </c>
      <c r="Q61" s="46"/>
      <c r="R61" s="46"/>
      <c r="S61" s="46"/>
    </row>
    <row r="62" spans="5:19" x14ac:dyDescent="0.2">
      <c r="P62" s="54">
        <v>21</v>
      </c>
      <c r="Q62" s="46">
        <v>3</v>
      </c>
      <c r="R62" s="46">
        <v>3</v>
      </c>
      <c r="S62" s="46">
        <v>6</v>
      </c>
    </row>
    <row r="63" spans="5:19" x14ac:dyDescent="0.2">
      <c r="P63" s="55" t="s">
        <v>211</v>
      </c>
      <c r="Q63" s="46"/>
      <c r="R63" s="46"/>
      <c r="S63" s="46"/>
    </row>
    <row r="64" spans="5:19" x14ac:dyDescent="0.2">
      <c r="P64" s="55" t="s">
        <v>199</v>
      </c>
      <c r="Q64" s="46"/>
      <c r="R64" s="46"/>
      <c r="S64" s="46"/>
    </row>
    <row r="65" spans="16:19" x14ac:dyDescent="0.2">
      <c r="P65" s="55" t="s">
        <v>118</v>
      </c>
      <c r="Q65" s="46">
        <v>3</v>
      </c>
      <c r="R65" s="46">
        <v>2</v>
      </c>
      <c r="S65" s="46">
        <v>5</v>
      </c>
    </row>
    <row r="66" spans="16:19" x14ac:dyDescent="0.2">
      <c r="P66" s="55" t="s">
        <v>181</v>
      </c>
      <c r="Q66" s="46"/>
      <c r="R66" s="46"/>
      <c r="S66" s="46"/>
    </row>
    <row r="67" spans="16:19" x14ac:dyDescent="0.2">
      <c r="P67" s="55" t="s">
        <v>71</v>
      </c>
      <c r="Q67" s="46"/>
      <c r="R67" s="46">
        <v>1</v>
      </c>
      <c r="S67" s="46">
        <v>1</v>
      </c>
    </row>
    <row r="68" spans="16:19" x14ac:dyDescent="0.2">
      <c r="P68" s="55" t="s">
        <v>52</v>
      </c>
      <c r="Q68" s="46"/>
      <c r="R68" s="46"/>
      <c r="S68" s="46"/>
    </row>
    <row r="69" spans="16:19" x14ac:dyDescent="0.2">
      <c r="P69" s="55" t="s">
        <v>84</v>
      </c>
      <c r="Q69" s="46"/>
      <c r="R69" s="46"/>
      <c r="S69" s="46"/>
    </row>
    <row r="70" spans="16:19" x14ac:dyDescent="0.2">
      <c r="P70" s="55" t="s">
        <v>139</v>
      </c>
      <c r="Q70" s="46"/>
      <c r="R70" s="46"/>
      <c r="S70" s="46"/>
    </row>
    <row r="71" spans="16:19" x14ac:dyDescent="0.2">
      <c r="P71" s="55" t="s">
        <v>102</v>
      </c>
      <c r="Q71" s="46"/>
      <c r="R71" s="46"/>
      <c r="S71" s="46"/>
    </row>
    <row r="72" spans="16:19" x14ac:dyDescent="0.2">
      <c r="P72" s="53">
        <v>50</v>
      </c>
      <c r="Q72" s="46">
        <v>5</v>
      </c>
      <c r="R72" s="46">
        <v>5</v>
      </c>
      <c r="S72" s="46">
        <v>10</v>
      </c>
    </row>
    <row r="73" spans="16:19" x14ac:dyDescent="0.2">
      <c r="P73" s="54">
        <v>14</v>
      </c>
      <c r="Q73" s="46">
        <v>3</v>
      </c>
      <c r="R73" s="46">
        <v>3</v>
      </c>
      <c r="S73" s="46">
        <v>6</v>
      </c>
    </row>
    <row r="74" spans="16:19" x14ac:dyDescent="0.2">
      <c r="P74" s="55" t="s">
        <v>211</v>
      </c>
      <c r="Q74" s="46"/>
      <c r="R74" s="46"/>
      <c r="S74" s="46"/>
    </row>
    <row r="75" spans="16:19" x14ac:dyDescent="0.2">
      <c r="P75" s="55" t="s">
        <v>199</v>
      </c>
      <c r="Q75" s="46"/>
      <c r="R75" s="46"/>
      <c r="S75" s="46"/>
    </row>
    <row r="76" spans="16:19" x14ac:dyDescent="0.2">
      <c r="P76" s="55" t="s">
        <v>118</v>
      </c>
      <c r="Q76" s="46">
        <v>3</v>
      </c>
      <c r="R76" s="46">
        <v>2</v>
      </c>
      <c r="S76" s="46">
        <v>5</v>
      </c>
    </row>
    <row r="77" spans="16:19" x14ac:dyDescent="0.2">
      <c r="P77" s="55" t="s">
        <v>181</v>
      </c>
      <c r="Q77" s="46"/>
      <c r="R77" s="46"/>
      <c r="S77" s="46"/>
    </row>
    <row r="78" spans="16:19" x14ac:dyDescent="0.2">
      <c r="P78" s="55" t="s">
        <v>71</v>
      </c>
      <c r="Q78" s="46"/>
      <c r="R78" s="46">
        <v>1</v>
      </c>
      <c r="S78" s="46">
        <v>1</v>
      </c>
    </row>
    <row r="79" spans="16:19" x14ac:dyDescent="0.2">
      <c r="P79" s="55" t="s">
        <v>52</v>
      </c>
      <c r="Q79" s="46"/>
      <c r="R79" s="46"/>
      <c r="S79" s="46"/>
    </row>
    <row r="80" spans="16:19" x14ac:dyDescent="0.2">
      <c r="P80" s="55" t="s">
        <v>84</v>
      </c>
      <c r="Q80" s="46"/>
      <c r="R80" s="46"/>
      <c r="S80" s="46"/>
    </row>
    <row r="81" spans="16:19" x14ac:dyDescent="0.2">
      <c r="P81" s="55" t="s">
        <v>139</v>
      </c>
      <c r="Q81" s="46"/>
      <c r="R81" s="46"/>
      <c r="S81" s="46"/>
    </row>
    <row r="82" spans="16:19" x14ac:dyDescent="0.2">
      <c r="P82" s="55" t="s">
        <v>102</v>
      </c>
      <c r="Q82" s="46"/>
      <c r="R82" s="46"/>
      <c r="S82" s="46"/>
    </row>
    <row r="83" spans="16:19" x14ac:dyDescent="0.2">
      <c r="P83" s="54">
        <v>21</v>
      </c>
      <c r="Q83" s="46">
        <v>2</v>
      </c>
      <c r="R83" s="46">
        <v>2</v>
      </c>
      <c r="S83" s="46">
        <v>4</v>
      </c>
    </row>
    <row r="84" spans="16:19" x14ac:dyDescent="0.2">
      <c r="P84" s="55" t="s">
        <v>211</v>
      </c>
      <c r="Q84" s="46"/>
      <c r="R84" s="46"/>
      <c r="S84" s="46"/>
    </row>
    <row r="85" spans="16:19" x14ac:dyDescent="0.2">
      <c r="P85" s="55" t="s">
        <v>199</v>
      </c>
      <c r="Q85" s="46"/>
      <c r="R85" s="46"/>
      <c r="S85" s="46"/>
    </row>
    <row r="86" spans="16:19" x14ac:dyDescent="0.2">
      <c r="P86" s="55" t="s">
        <v>118</v>
      </c>
      <c r="Q86" s="46">
        <v>1</v>
      </c>
      <c r="R86" s="46">
        <v>2</v>
      </c>
      <c r="S86" s="46">
        <v>3</v>
      </c>
    </row>
    <row r="87" spans="16:19" x14ac:dyDescent="0.2">
      <c r="P87" s="55" t="s">
        <v>181</v>
      </c>
      <c r="Q87" s="46"/>
      <c r="R87" s="46"/>
      <c r="S87" s="46"/>
    </row>
    <row r="88" spans="16:19" x14ac:dyDescent="0.2">
      <c r="P88" s="55" t="s">
        <v>71</v>
      </c>
      <c r="Q88" s="46">
        <v>1</v>
      </c>
      <c r="R88" s="46"/>
      <c r="S88" s="46">
        <v>1</v>
      </c>
    </row>
    <row r="89" spans="16:19" x14ac:dyDescent="0.2">
      <c r="P89" s="55" t="s">
        <v>52</v>
      </c>
      <c r="Q89" s="46"/>
      <c r="R89" s="46"/>
      <c r="S89" s="46"/>
    </row>
    <row r="90" spans="16:19" x14ac:dyDescent="0.2">
      <c r="P90" s="55" t="s">
        <v>84</v>
      </c>
      <c r="Q90" s="46"/>
      <c r="R90" s="46"/>
      <c r="S90" s="46"/>
    </row>
    <row r="91" spans="16:19" x14ac:dyDescent="0.2">
      <c r="P91" s="55" t="s">
        <v>139</v>
      </c>
      <c r="Q91" s="46"/>
      <c r="R91" s="46"/>
      <c r="S91" s="46"/>
    </row>
    <row r="92" spans="16:19" x14ac:dyDescent="0.2">
      <c r="P92" s="55" t="s">
        <v>102</v>
      </c>
      <c r="Q92" s="46"/>
      <c r="R92" s="46"/>
      <c r="S92" s="46"/>
    </row>
    <row r="93" spans="16:19" x14ac:dyDescent="0.2">
      <c r="P93" s="45" t="s">
        <v>68</v>
      </c>
      <c r="Q93" s="46">
        <v>23</v>
      </c>
      <c r="R93" s="46">
        <v>25</v>
      </c>
      <c r="S93" s="46">
        <v>48</v>
      </c>
    </row>
    <row r="94" spans="16:19" x14ac:dyDescent="0.2">
      <c r="P94" s="47" t="s">
        <v>74</v>
      </c>
      <c r="Q94" s="46">
        <v>12</v>
      </c>
      <c r="R94" s="46">
        <v>11</v>
      </c>
      <c r="S94" s="46">
        <v>23</v>
      </c>
    </row>
    <row r="95" spans="16:19" x14ac:dyDescent="0.2">
      <c r="P95" s="53">
        <v>1</v>
      </c>
      <c r="Q95" s="46">
        <v>6</v>
      </c>
      <c r="R95" s="46">
        <v>6</v>
      </c>
      <c r="S95" s="46">
        <v>12</v>
      </c>
    </row>
    <row r="96" spans="16:19" x14ac:dyDescent="0.2">
      <c r="P96" s="54">
        <v>14</v>
      </c>
      <c r="Q96" s="46">
        <v>3</v>
      </c>
      <c r="R96" s="46">
        <v>4</v>
      </c>
      <c r="S96" s="46">
        <v>7</v>
      </c>
    </row>
    <row r="97" spans="16:19" x14ac:dyDescent="0.2">
      <c r="P97" s="55" t="s">
        <v>211</v>
      </c>
      <c r="Q97" s="46"/>
      <c r="R97" s="46"/>
      <c r="S97" s="46"/>
    </row>
    <row r="98" spans="16:19" x14ac:dyDescent="0.2">
      <c r="P98" s="55" t="s">
        <v>199</v>
      </c>
      <c r="Q98" s="46"/>
      <c r="R98" s="46"/>
      <c r="S98" s="46"/>
    </row>
    <row r="99" spans="16:19" x14ac:dyDescent="0.2">
      <c r="P99" s="55" t="s">
        <v>118</v>
      </c>
      <c r="Q99" s="46">
        <v>2</v>
      </c>
      <c r="R99" s="46">
        <v>3</v>
      </c>
      <c r="S99" s="46">
        <v>5</v>
      </c>
    </row>
    <row r="100" spans="16:19" x14ac:dyDescent="0.2">
      <c r="P100" s="55" t="s">
        <v>181</v>
      </c>
      <c r="Q100" s="46"/>
      <c r="R100" s="46"/>
      <c r="S100" s="46"/>
    </row>
    <row r="101" spans="16:19" x14ac:dyDescent="0.2">
      <c r="P101" s="55" t="s">
        <v>71</v>
      </c>
      <c r="Q101" s="46">
        <v>1</v>
      </c>
      <c r="R101" s="46">
        <v>1</v>
      </c>
      <c r="S101" s="46">
        <v>2</v>
      </c>
    </row>
    <row r="102" spans="16:19" x14ac:dyDescent="0.2">
      <c r="P102" s="55" t="s">
        <v>52</v>
      </c>
      <c r="Q102" s="46"/>
      <c r="R102" s="46"/>
      <c r="S102" s="46"/>
    </row>
    <row r="103" spans="16:19" x14ac:dyDescent="0.2">
      <c r="P103" s="55" t="s">
        <v>84</v>
      </c>
      <c r="Q103" s="46"/>
      <c r="R103" s="46"/>
      <c r="S103" s="46"/>
    </row>
    <row r="104" spans="16:19" x14ac:dyDescent="0.2">
      <c r="P104" s="55" t="s">
        <v>139</v>
      </c>
      <c r="Q104" s="46"/>
      <c r="R104" s="46"/>
      <c r="S104" s="46"/>
    </row>
    <row r="105" spans="16:19" x14ac:dyDescent="0.2">
      <c r="P105" s="55" t="s">
        <v>102</v>
      </c>
      <c r="Q105" s="46"/>
      <c r="R105" s="46"/>
      <c r="S105" s="46"/>
    </row>
    <row r="106" spans="16:19" x14ac:dyDescent="0.2">
      <c r="P106" s="54">
        <v>21</v>
      </c>
      <c r="Q106" s="46">
        <v>3</v>
      </c>
      <c r="R106" s="46">
        <v>2</v>
      </c>
      <c r="S106" s="46">
        <v>5</v>
      </c>
    </row>
    <row r="107" spans="16:19" x14ac:dyDescent="0.2">
      <c r="P107" s="55" t="s">
        <v>211</v>
      </c>
      <c r="Q107" s="46"/>
      <c r="R107" s="46"/>
      <c r="S107" s="46"/>
    </row>
    <row r="108" spans="16:19" x14ac:dyDescent="0.2">
      <c r="P108" s="55" t="s">
        <v>199</v>
      </c>
      <c r="Q108" s="46"/>
      <c r="R108" s="46"/>
      <c r="S108" s="46"/>
    </row>
    <row r="109" spans="16:19" x14ac:dyDescent="0.2">
      <c r="P109" s="55" t="s">
        <v>118</v>
      </c>
      <c r="Q109" s="46">
        <v>2</v>
      </c>
      <c r="R109" s="46">
        <v>1</v>
      </c>
      <c r="S109" s="46">
        <v>3</v>
      </c>
    </row>
    <row r="110" spans="16:19" x14ac:dyDescent="0.2">
      <c r="P110" s="55" t="s">
        <v>181</v>
      </c>
      <c r="Q110" s="46"/>
      <c r="R110" s="46"/>
      <c r="S110" s="46"/>
    </row>
    <row r="111" spans="16:19" x14ac:dyDescent="0.2">
      <c r="P111" s="55" t="s">
        <v>71</v>
      </c>
      <c r="Q111" s="46">
        <v>1</v>
      </c>
      <c r="R111" s="46">
        <v>1</v>
      </c>
      <c r="S111" s="46">
        <v>2</v>
      </c>
    </row>
    <row r="112" spans="16:19" x14ac:dyDescent="0.2">
      <c r="P112" s="55" t="s">
        <v>52</v>
      </c>
      <c r="Q112" s="46"/>
      <c r="R112" s="46"/>
      <c r="S112" s="46"/>
    </row>
    <row r="113" spans="16:19" x14ac:dyDescent="0.2">
      <c r="P113" s="55" t="s">
        <v>84</v>
      </c>
      <c r="Q113" s="46"/>
      <c r="R113" s="46"/>
      <c r="S113" s="46"/>
    </row>
    <row r="114" spans="16:19" x14ac:dyDescent="0.2">
      <c r="P114" s="55" t="s">
        <v>139</v>
      </c>
      <c r="Q114" s="46"/>
      <c r="R114" s="46"/>
      <c r="S114" s="46"/>
    </row>
    <row r="115" spans="16:19" x14ac:dyDescent="0.2">
      <c r="P115" s="55" t="s">
        <v>102</v>
      </c>
      <c r="Q115" s="46"/>
      <c r="R115" s="46"/>
      <c r="S115" s="46"/>
    </row>
    <row r="116" spans="16:19" x14ac:dyDescent="0.2">
      <c r="P116" s="53">
        <v>50</v>
      </c>
      <c r="Q116" s="46">
        <v>6</v>
      </c>
      <c r="R116" s="46">
        <v>5</v>
      </c>
      <c r="S116" s="46">
        <v>11</v>
      </c>
    </row>
    <row r="117" spans="16:19" x14ac:dyDescent="0.2">
      <c r="P117" s="54">
        <v>14</v>
      </c>
      <c r="Q117" s="46">
        <v>4</v>
      </c>
      <c r="R117" s="46">
        <v>3</v>
      </c>
      <c r="S117" s="46">
        <v>7</v>
      </c>
    </row>
    <row r="118" spans="16:19" x14ac:dyDescent="0.2">
      <c r="P118" s="55" t="s">
        <v>211</v>
      </c>
      <c r="Q118" s="46"/>
      <c r="R118" s="46"/>
      <c r="S118" s="46"/>
    </row>
    <row r="119" spans="16:19" x14ac:dyDescent="0.2">
      <c r="P119" s="55" t="s">
        <v>199</v>
      </c>
      <c r="Q119" s="46"/>
      <c r="R119" s="46"/>
      <c r="S119" s="46"/>
    </row>
    <row r="120" spans="16:19" x14ac:dyDescent="0.2">
      <c r="P120" s="55" t="s">
        <v>118</v>
      </c>
      <c r="Q120" s="46">
        <v>3</v>
      </c>
      <c r="R120" s="46">
        <v>3</v>
      </c>
      <c r="S120" s="46">
        <v>6</v>
      </c>
    </row>
    <row r="121" spans="16:19" x14ac:dyDescent="0.2">
      <c r="P121" s="55" t="s">
        <v>181</v>
      </c>
      <c r="Q121" s="46"/>
      <c r="R121" s="46"/>
      <c r="S121" s="46"/>
    </row>
    <row r="122" spans="16:19" x14ac:dyDescent="0.2">
      <c r="P122" s="55" t="s">
        <v>71</v>
      </c>
      <c r="Q122" s="46">
        <v>1</v>
      </c>
      <c r="R122" s="46"/>
      <c r="S122" s="46">
        <v>1</v>
      </c>
    </row>
    <row r="123" spans="16:19" x14ac:dyDescent="0.2">
      <c r="P123" s="55" t="s">
        <v>52</v>
      </c>
      <c r="Q123" s="46"/>
      <c r="R123" s="46"/>
      <c r="S123" s="46"/>
    </row>
    <row r="124" spans="16:19" x14ac:dyDescent="0.2">
      <c r="P124" s="55" t="s">
        <v>84</v>
      </c>
      <c r="Q124" s="46"/>
      <c r="R124" s="46"/>
      <c r="S124" s="46"/>
    </row>
    <row r="125" spans="16:19" x14ac:dyDescent="0.2">
      <c r="P125" s="55" t="s">
        <v>139</v>
      </c>
      <c r="Q125" s="46"/>
      <c r="R125" s="46"/>
      <c r="S125" s="46"/>
    </row>
    <row r="126" spans="16:19" x14ac:dyDescent="0.2">
      <c r="P126" s="55" t="s">
        <v>102</v>
      </c>
      <c r="Q126" s="46"/>
      <c r="R126" s="46"/>
      <c r="S126" s="46"/>
    </row>
    <row r="127" spans="16:19" x14ac:dyDescent="0.2">
      <c r="P127" s="54">
        <v>21</v>
      </c>
      <c r="Q127" s="46">
        <v>2</v>
      </c>
      <c r="R127" s="46">
        <v>2</v>
      </c>
      <c r="S127" s="46">
        <v>4</v>
      </c>
    </row>
    <row r="128" spans="16:19" x14ac:dyDescent="0.2">
      <c r="P128" s="55" t="s">
        <v>211</v>
      </c>
      <c r="Q128" s="46"/>
      <c r="R128" s="46"/>
      <c r="S128" s="46"/>
    </row>
    <row r="129" spans="16:19" x14ac:dyDescent="0.2">
      <c r="P129" s="55" t="s">
        <v>199</v>
      </c>
      <c r="Q129" s="46"/>
      <c r="R129" s="46"/>
      <c r="S129" s="46"/>
    </row>
    <row r="130" spans="16:19" x14ac:dyDescent="0.2">
      <c r="P130" s="55" t="s">
        <v>118</v>
      </c>
      <c r="Q130" s="46">
        <v>2</v>
      </c>
      <c r="R130" s="46">
        <v>2</v>
      </c>
      <c r="S130" s="46">
        <v>4</v>
      </c>
    </row>
    <row r="131" spans="16:19" x14ac:dyDescent="0.2">
      <c r="P131" s="55" t="s">
        <v>181</v>
      </c>
      <c r="Q131" s="46"/>
      <c r="R131" s="46"/>
      <c r="S131" s="46"/>
    </row>
    <row r="132" spans="16:19" x14ac:dyDescent="0.2">
      <c r="P132" s="55" t="s">
        <v>71</v>
      </c>
      <c r="Q132" s="46"/>
      <c r="R132" s="46"/>
      <c r="S132" s="46"/>
    </row>
    <row r="133" spans="16:19" x14ac:dyDescent="0.2">
      <c r="P133" s="55" t="s">
        <v>52</v>
      </c>
      <c r="Q133" s="46"/>
      <c r="R133" s="46"/>
      <c r="S133" s="46"/>
    </row>
    <row r="134" spans="16:19" x14ac:dyDescent="0.2">
      <c r="P134" s="55" t="s">
        <v>84</v>
      </c>
      <c r="Q134" s="46"/>
      <c r="R134" s="46"/>
      <c r="S134" s="46"/>
    </row>
    <row r="135" spans="16:19" x14ac:dyDescent="0.2">
      <c r="P135" s="55" t="s">
        <v>139</v>
      </c>
      <c r="Q135" s="46"/>
      <c r="R135" s="46"/>
      <c r="S135" s="46"/>
    </row>
    <row r="136" spans="16:19" x14ac:dyDescent="0.2">
      <c r="P136" s="55" t="s">
        <v>102</v>
      </c>
      <c r="Q136" s="46"/>
      <c r="R136" s="46"/>
      <c r="S136" s="46"/>
    </row>
    <row r="137" spans="16:19" x14ac:dyDescent="0.2">
      <c r="P137" s="47" t="s">
        <v>45</v>
      </c>
      <c r="Q137" s="46">
        <v>11</v>
      </c>
      <c r="R137" s="46">
        <v>14</v>
      </c>
      <c r="S137" s="46">
        <v>25</v>
      </c>
    </row>
    <row r="138" spans="16:19" x14ac:dyDescent="0.2">
      <c r="P138" s="53">
        <v>1</v>
      </c>
      <c r="Q138" s="46">
        <v>6</v>
      </c>
      <c r="R138" s="46">
        <v>8</v>
      </c>
      <c r="S138" s="46">
        <v>14</v>
      </c>
    </row>
    <row r="139" spans="16:19" x14ac:dyDescent="0.2">
      <c r="P139" s="54">
        <v>14</v>
      </c>
      <c r="Q139" s="46">
        <v>4</v>
      </c>
      <c r="R139" s="46">
        <v>5</v>
      </c>
      <c r="S139" s="46">
        <v>9</v>
      </c>
    </row>
    <row r="140" spans="16:19" x14ac:dyDescent="0.2">
      <c r="P140" s="55" t="s">
        <v>211</v>
      </c>
      <c r="Q140" s="46"/>
      <c r="R140" s="46"/>
      <c r="S140" s="46"/>
    </row>
    <row r="141" spans="16:19" x14ac:dyDescent="0.2">
      <c r="P141" s="55" t="s">
        <v>199</v>
      </c>
      <c r="Q141" s="46"/>
      <c r="R141" s="46"/>
      <c r="S141" s="46"/>
    </row>
    <row r="142" spans="16:19" x14ac:dyDescent="0.2">
      <c r="P142" s="55" t="s">
        <v>118</v>
      </c>
      <c r="Q142" s="46">
        <v>4</v>
      </c>
      <c r="R142" s="46">
        <v>4</v>
      </c>
      <c r="S142" s="46">
        <v>8</v>
      </c>
    </row>
    <row r="143" spans="16:19" x14ac:dyDescent="0.2">
      <c r="P143" s="55" t="s">
        <v>181</v>
      </c>
      <c r="Q143" s="46"/>
      <c r="R143" s="46"/>
      <c r="S143" s="46"/>
    </row>
    <row r="144" spans="16:19" x14ac:dyDescent="0.2">
      <c r="P144" s="55" t="s">
        <v>71</v>
      </c>
      <c r="Q144" s="46"/>
      <c r="R144" s="46">
        <v>1</v>
      </c>
      <c r="S144" s="46">
        <v>1</v>
      </c>
    </row>
    <row r="145" spans="16:19" x14ac:dyDescent="0.2">
      <c r="P145" s="55" t="s">
        <v>52</v>
      </c>
      <c r="Q145" s="46"/>
      <c r="R145" s="46"/>
      <c r="S145" s="46"/>
    </row>
    <row r="146" spans="16:19" x14ac:dyDescent="0.2">
      <c r="P146" s="55" t="s">
        <v>84</v>
      </c>
      <c r="Q146" s="46"/>
      <c r="R146" s="46"/>
      <c r="S146" s="46"/>
    </row>
    <row r="147" spans="16:19" x14ac:dyDescent="0.2">
      <c r="P147" s="55" t="s">
        <v>139</v>
      </c>
      <c r="Q147" s="46"/>
      <c r="R147" s="46"/>
      <c r="S147" s="46"/>
    </row>
    <row r="148" spans="16:19" x14ac:dyDescent="0.2">
      <c r="P148" s="55" t="s">
        <v>102</v>
      </c>
      <c r="Q148" s="46"/>
      <c r="R148" s="46"/>
      <c r="S148" s="46"/>
    </row>
    <row r="149" spans="16:19" x14ac:dyDescent="0.2">
      <c r="P149" s="54">
        <v>21</v>
      </c>
      <c r="Q149" s="46">
        <v>2</v>
      </c>
      <c r="R149" s="46">
        <v>3</v>
      </c>
      <c r="S149" s="46">
        <v>5</v>
      </c>
    </row>
    <row r="150" spans="16:19" x14ac:dyDescent="0.2">
      <c r="P150" s="55" t="s">
        <v>211</v>
      </c>
      <c r="Q150" s="46"/>
      <c r="R150" s="46"/>
      <c r="S150" s="46"/>
    </row>
    <row r="151" spans="16:19" x14ac:dyDescent="0.2">
      <c r="P151" s="55" t="s">
        <v>199</v>
      </c>
      <c r="Q151" s="46"/>
      <c r="R151" s="46"/>
      <c r="S151" s="46"/>
    </row>
    <row r="152" spans="16:19" x14ac:dyDescent="0.2">
      <c r="P152" s="55" t="s">
        <v>118</v>
      </c>
      <c r="Q152" s="46">
        <v>1</v>
      </c>
      <c r="R152" s="46">
        <v>2</v>
      </c>
      <c r="S152" s="46">
        <v>3</v>
      </c>
    </row>
    <row r="153" spans="16:19" x14ac:dyDescent="0.2">
      <c r="P153" s="55" t="s">
        <v>181</v>
      </c>
      <c r="Q153" s="46"/>
      <c r="R153" s="46"/>
      <c r="S153" s="46"/>
    </row>
    <row r="154" spans="16:19" x14ac:dyDescent="0.2">
      <c r="P154" s="55" t="s">
        <v>71</v>
      </c>
      <c r="Q154" s="46">
        <v>1</v>
      </c>
      <c r="R154" s="46">
        <v>1</v>
      </c>
      <c r="S154" s="46">
        <v>2</v>
      </c>
    </row>
    <row r="155" spans="16:19" x14ac:dyDescent="0.2">
      <c r="P155" s="55" t="s">
        <v>52</v>
      </c>
      <c r="Q155" s="46"/>
      <c r="R155" s="46"/>
      <c r="S155" s="46"/>
    </row>
    <row r="156" spans="16:19" x14ac:dyDescent="0.2">
      <c r="P156" s="55" t="s">
        <v>84</v>
      </c>
      <c r="Q156" s="46"/>
      <c r="R156" s="46"/>
      <c r="S156" s="46"/>
    </row>
    <row r="157" spans="16:19" x14ac:dyDescent="0.2">
      <c r="P157" s="55" t="s">
        <v>139</v>
      </c>
      <c r="Q157" s="46"/>
      <c r="R157" s="46"/>
      <c r="S157" s="46"/>
    </row>
    <row r="158" spans="16:19" x14ac:dyDescent="0.2">
      <c r="P158" s="55" t="s">
        <v>102</v>
      </c>
      <c r="Q158" s="46"/>
      <c r="R158" s="46"/>
      <c r="S158" s="46"/>
    </row>
    <row r="159" spans="16:19" x14ac:dyDescent="0.2">
      <c r="P159" s="53">
        <v>50</v>
      </c>
      <c r="Q159" s="46">
        <v>5</v>
      </c>
      <c r="R159" s="46">
        <v>6</v>
      </c>
      <c r="S159" s="46">
        <v>11</v>
      </c>
    </row>
    <row r="160" spans="16:19" x14ac:dyDescent="0.2">
      <c r="P160" s="54">
        <v>14</v>
      </c>
      <c r="Q160" s="46">
        <v>2</v>
      </c>
      <c r="R160" s="46">
        <v>3</v>
      </c>
      <c r="S160" s="46">
        <v>5</v>
      </c>
    </row>
    <row r="161" spans="16:19" x14ac:dyDescent="0.2">
      <c r="P161" s="55" t="s">
        <v>211</v>
      </c>
      <c r="Q161" s="46"/>
      <c r="R161" s="46"/>
      <c r="S161" s="46"/>
    </row>
    <row r="162" spans="16:19" x14ac:dyDescent="0.2">
      <c r="P162" s="55" t="s">
        <v>199</v>
      </c>
      <c r="Q162" s="46"/>
      <c r="R162" s="46"/>
      <c r="S162" s="46"/>
    </row>
    <row r="163" spans="16:19" x14ac:dyDescent="0.2">
      <c r="P163" s="55" t="s">
        <v>118</v>
      </c>
      <c r="Q163" s="46">
        <v>2</v>
      </c>
      <c r="R163" s="46">
        <v>3</v>
      </c>
      <c r="S163" s="46">
        <v>5</v>
      </c>
    </row>
    <row r="164" spans="16:19" x14ac:dyDescent="0.2">
      <c r="P164" s="55" t="s">
        <v>181</v>
      </c>
      <c r="Q164" s="46"/>
      <c r="R164" s="46"/>
      <c r="S164" s="46"/>
    </row>
    <row r="165" spans="16:19" x14ac:dyDescent="0.2">
      <c r="P165" s="55" t="s">
        <v>71</v>
      </c>
      <c r="Q165" s="46"/>
      <c r="R165" s="46"/>
      <c r="S165" s="46"/>
    </row>
    <row r="166" spans="16:19" x14ac:dyDescent="0.2">
      <c r="P166" s="55" t="s">
        <v>52</v>
      </c>
      <c r="Q166" s="46"/>
      <c r="R166" s="46"/>
      <c r="S166" s="46"/>
    </row>
    <row r="167" spans="16:19" x14ac:dyDescent="0.2">
      <c r="P167" s="55" t="s">
        <v>84</v>
      </c>
      <c r="Q167" s="46"/>
      <c r="R167" s="46"/>
      <c r="S167" s="46"/>
    </row>
    <row r="168" spans="16:19" x14ac:dyDescent="0.2">
      <c r="P168" s="55" t="s">
        <v>139</v>
      </c>
      <c r="Q168" s="46"/>
      <c r="R168" s="46"/>
      <c r="S168" s="46"/>
    </row>
    <row r="169" spans="16:19" x14ac:dyDescent="0.2">
      <c r="P169" s="55" t="s">
        <v>102</v>
      </c>
      <c r="Q169" s="46"/>
      <c r="R169" s="46"/>
      <c r="S169" s="46"/>
    </row>
    <row r="170" spans="16:19" x14ac:dyDescent="0.2">
      <c r="P170" s="54">
        <v>21</v>
      </c>
      <c r="Q170" s="46">
        <v>3</v>
      </c>
      <c r="R170" s="46">
        <v>3</v>
      </c>
      <c r="S170" s="46">
        <v>6</v>
      </c>
    </row>
    <row r="171" spans="16:19" x14ac:dyDescent="0.2">
      <c r="P171" s="55" t="s">
        <v>211</v>
      </c>
      <c r="Q171" s="46"/>
      <c r="R171" s="46"/>
      <c r="S171" s="46"/>
    </row>
    <row r="172" spans="16:19" x14ac:dyDescent="0.2">
      <c r="P172" s="55" t="s">
        <v>199</v>
      </c>
      <c r="Q172" s="46"/>
      <c r="R172" s="46"/>
      <c r="S172" s="46"/>
    </row>
    <row r="173" spans="16:19" x14ac:dyDescent="0.2">
      <c r="P173" s="55" t="s">
        <v>118</v>
      </c>
      <c r="Q173" s="46">
        <v>3</v>
      </c>
      <c r="R173" s="46">
        <v>3</v>
      </c>
      <c r="S173" s="46">
        <v>6</v>
      </c>
    </row>
    <row r="174" spans="16:19" x14ac:dyDescent="0.2">
      <c r="P174" s="55" t="s">
        <v>181</v>
      </c>
      <c r="Q174" s="46"/>
      <c r="R174" s="46"/>
      <c r="S174" s="46"/>
    </row>
    <row r="175" spans="16:19" x14ac:dyDescent="0.2">
      <c r="P175" s="55" t="s">
        <v>71</v>
      </c>
      <c r="Q175" s="46"/>
      <c r="R175" s="46"/>
      <c r="S175" s="46"/>
    </row>
    <row r="176" spans="16:19" x14ac:dyDescent="0.2">
      <c r="P176" s="55" t="s">
        <v>52</v>
      </c>
      <c r="Q176" s="46"/>
      <c r="R176" s="46"/>
      <c r="S176" s="46"/>
    </row>
    <row r="177" spans="16:19" x14ac:dyDescent="0.2">
      <c r="P177" s="55" t="s">
        <v>84</v>
      </c>
      <c r="Q177" s="46"/>
      <c r="R177" s="46"/>
      <c r="S177" s="46"/>
    </row>
    <row r="178" spans="16:19" x14ac:dyDescent="0.2">
      <c r="P178" s="55" t="s">
        <v>139</v>
      </c>
      <c r="Q178" s="46"/>
      <c r="R178" s="46"/>
      <c r="S178" s="46"/>
    </row>
    <row r="179" spans="16:19" x14ac:dyDescent="0.2">
      <c r="P179" s="55" t="s">
        <v>102</v>
      </c>
      <c r="Q179" s="46"/>
      <c r="R179" s="46"/>
      <c r="S179" s="46"/>
    </row>
    <row r="180" spans="16:19" x14ac:dyDescent="0.2">
      <c r="P180" s="45" t="s">
        <v>44</v>
      </c>
      <c r="Q180" s="46">
        <v>19</v>
      </c>
      <c r="R180" s="46">
        <v>20</v>
      </c>
      <c r="S180" s="46">
        <v>39</v>
      </c>
    </row>
    <row r="181" spans="16:19" x14ac:dyDescent="0.2">
      <c r="P181" s="47" t="s">
        <v>74</v>
      </c>
      <c r="Q181" s="46">
        <v>7</v>
      </c>
      <c r="R181" s="46">
        <v>10</v>
      </c>
      <c r="S181" s="46">
        <v>17</v>
      </c>
    </row>
    <row r="182" spans="16:19" x14ac:dyDescent="0.2">
      <c r="P182" s="53">
        <v>1</v>
      </c>
      <c r="Q182" s="46">
        <v>4</v>
      </c>
      <c r="R182" s="46">
        <v>6</v>
      </c>
      <c r="S182" s="46">
        <v>10</v>
      </c>
    </row>
    <row r="183" spans="16:19" x14ac:dyDescent="0.2">
      <c r="P183" s="54">
        <v>14</v>
      </c>
      <c r="Q183" s="46">
        <v>2</v>
      </c>
      <c r="R183" s="46">
        <v>1</v>
      </c>
      <c r="S183" s="46">
        <v>3</v>
      </c>
    </row>
    <row r="184" spans="16:19" x14ac:dyDescent="0.2">
      <c r="P184" s="55" t="s">
        <v>211</v>
      </c>
      <c r="Q184" s="46"/>
      <c r="R184" s="46"/>
      <c r="S184" s="46"/>
    </row>
    <row r="185" spans="16:19" x14ac:dyDescent="0.2">
      <c r="P185" s="55" t="s">
        <v>199</v>
      </c>
      <c r="Q185" s="46"/>
      <c r="R185" s="46"/>
      <c r="S185" s="46"/>
    </row>
    <row r="186" spans="16:19" x14ac:dyDescent="0.2">
      <c r="P186" s="55" t="s">
        <v>118</v>
      </c>
      <c r="Q186" s="46">
        <v>2</v>
      </c>
      <c r="R186" s="46"/>
      <c r="S186" s="46">
        <v>2</v>
      </c>
    </row>
    <row r="187" spans="16:19" x14ac:dyDescent="0.2">
      <c r="P187" s="55" t="s">
        <v>181</v>
      </c>
      <c r="Q187" s="46"/>
      <c r="R187" s="46"/>
      <c r="S187" s="46"/>
    </row>
    <row r="188" spans="16:19" x14ac:dyDescent="0.2">
      <c r="P188" s="55" t="s">
        <v>71</v>
      </c>
      <c r="Q188" s="46"/>
      <c r="R188" s="46">
        <v>1</v>
      </c>
      <c r="S188" s="46">
        <v>1</v>
      </c>
    </row>
    <row r="189" spans="16:19" x14ac:dyDescent="0.2">
      <c r="P189" s="55" t="s">
        <v>52</v>
      </c>
      <c r="Q189" s="46"/>
      <c r="R189" s="46"/>
      <c r="S189" s="46"/>
    </row>
    <row r="190" spans="16:19" x14ac:dyDescent="0.2">
      <c r="P190" s="55" t="s">
        <v>84</v>
      </c>
      <c r="Q190" s="46"/>
      <c r="R190" s="46"/>
      <c r="S190" s="46"/>
    </row>
    <row r="191" spans="16:19" x14ac:dyDescent="0.2">
      <c r="P191" s="55" t="s">
        <v>139</v>
      </c>
      <c r="Q191" s="46"/>
      <c r="R191" s="46"/>
      <c r="S191" s="46"/>
    </row>
    <row r="192" spans="16:19" x14ac:dyDescent="0.2">
      <c r="P192" s="55" t="s">
        <v>102</v>
      </c>
      <c r="Q192" s="46"/>
      <c r="R192" s="46"/>
      <c r="S192" s="46"/>
    </row>
    <row r="193" spans="16:19" x14ac:dyDescent="0.2">
      <c r="P193" s="54">
        <v>21</v>
      </c>
      <c r="Q193" s="46">
        <v>2</v>
      </c>
      <c r="R193" s="46">
        <v>5</v>
      </c>
      <c r="S193" s="46">
        <v>7</v>
      </c>
    </row>
    <row r="194" spans="16:19" x14ac:dyDescent="0.2">
      <c r="P194" s="55" t="s">
        <v>211</v>
      </c>
      <c r="Q194" s="46"/>
      <c r="R194" s="46"/>
      <c r="S194" s="46"/>
    </row>
    <row r="195" spans="16:19" x14ac:dyDescent="0.2">
      <c r="P195" s="55" t="s">
        <v>199</v>
      </c>
      <c r="Q195" s="46"/>
      <c r="R195" s="46"/>
      <c r="S195" s="46"/>
    </row>
    <row r="196" spans="16:19" x14ac:dyDescent="0.2">
      <c r="P196" s="55" t="s">
        <v>118</v>
      </c>
      <c r="Q196" s="46">
        <v>2</v>
      </c>
      <c r="R196" s="46">
        <v>4</v>
      </c>
      <c r="S196" s="46">
        <v>6</v>
      </c>
    </row>
    <row r="197" spans="16:19" x14ac:dyDescent="0.2">
      <c r="P197" s="55" t="s">
        <v>181</v>
      </c>
      <c r="Q197" s="46"/>
      <c r="R197" s="46"/>
      <c r="S197" s="46"/>
    </row>
    <row r="198" spans="16:19" x14ac:dyDescent="0.2">
      <c r="P198" s="55" t="s">
        <v>71</v>
      </c>
      <c r="Q198" s="46"/>
      <c r="R198" s="46">
        <v>1</v>
      </c>
      <c r="S198" s="46">
        <v>1</v>
      </c>
    </row>
    <row r="199" spans="16:19" x14ac:dyDescent="0.2">
      <c r="P199" s="55" t="s">
        <v>52</v>
      </c>
      <c r="Q199" s="46"/>
      <c r="R199" s="46"/>
      <c r="S199" s="46"/>
    </row>
    <row r="200" spans="16:19" x14ac:dyDescent="0.2">
      <c r="P200" s="55" t="s">
        <v>84</v>
      </c>
      <c r="Q200" s="46"/>
      <c r="R200" s="46"/>
      <c r="S200" s="46"/>
    </row>
    <row r="201" spans="16:19" x14ac:dyDescent="0.2">
      <c r="P201" s="55" t="s">
        <v>139</v>
      </c>
      <c r="Q201" s="46"/>
      <c r="R201" s="46"/>
      <c r="S201" s="46"/>
    </row>
    <row r="202" spans="16:19" x14ac:dyDescent="0.2">
      <c r="P202" s="55" t="s">
        <v>102</v>
      </c>
      <c r="Q202" s="46"/>
      <c r="R202" s="46"/>
      <c r="S202" s="46"/>
    </row>
    <row r="203" spans="16:19" x14ac:dyDescent="0.2">
      <c r="P203" s="53">
        <v>50</v>
      </c>
      <c r="Q203" s="46">
        <v>3</v>
      </c>
      <c r="R203" s="46">
        <v>4</v>
      </c>
      <c r="S203" s="46">
        <v>7</v>
      </c>
    </row>
    <row r="204" spans="16:19" x14ac:dyDescent="0.2">
      <c r="P204" s="54">
        <v>14</v>
      </c>
      <c r="Q204" s="46"/>
      <c r="R204" s="46">
        <v>2</v>
      </c>
      <c r="S204" s="46">
        <v>2</v>
      </c>
    </row>
    <row r="205" spans="16:19" x14ac:dyDescent="0.2">
      <c r="P205" s="55" t="s">
        <v>211</v>
      </c>
      <c r="Q205" s="46"/>
      <c r="R205" s="46"/>
      <c r="S205" s="46"/>
    </row>
    <row r="206" spans="16:19" x14ac:dyDescent="0.2">
      <c r="P206" s="55" t="s">
        <v>199</v>
      </c>
      <c r="Q206" s="46"/>
      <c r="R206" s="46"/>
      <c r="S206" s="46"/>
    </row>
    <row r="207" spans="16:19" x14ac:dyDescent="0.2">
      <c r="P207" s="55" t="s">
        <v>118</v>
      </c>
      <c r="Q207" s="46"/>
      <c r="R207" s="46">
        <v>1</v>
      </c>
      <c r="S207" s="46">
        <v>1</v>
      </c>
    </row>
    <row r="208" spans="16:19" x14ac:dyDescent="0.2">
      <c r="P208" s="55" t="s">
        <v>181</v>
      </c>
      <c r="Q208" s="46"/>
      <c r="R208" s="46"/>
      <c r="S208" s="46"/>
    </row>
    <row r="209" spans="16:19" x14ac:dyDescent="0.2">
      <c r="P209" s="55" t="s">
        <v>71</v>
      </c>
      <c r="Q209" s="46"/>
      <c r="R209" s="46">
        <v>1</v>
      </c>
      <c r="S209" s="46">
        <v>1</v>
      </c>
    </row>
    <row r="210" spans="16:19" x14ac:dyDescent="0.2">
      <c r="P210" s="55" t="s">
        <v>52</v>
      </c>
      <c r="Q210" s="46"/>
      <c r="R210" s="46"/>
      <c r="S210" s="46"/>
    </row>
    <row r="211" spans="16:19" x14ac:dyDescent="0.2">
      <c r="P211" s="55" t="s">
        <v>84</v>
      </c>
      <c r="Q211" s="46"/>
      <c r="R211" s="46"/>
      <c r="S211" s="46"/>
    </row>
    <row r="212" spans="16:19" x14ac:dyDescent="0.2">
      <c r="P212" s="55" t="s">
        <v>139</v>
      </c>
      <c r="Q212" s="46"/>
      <c r="R212" s="46"/>
      <c r="S212" s="46"/>
    </row>
    <row r="213" spans="16:19" x14ac:dyDescent="0.2">
      <c r="P213" s="55" t="s">
        <v>102</v>
      </c>
      <c r="Q213" s="46"/>
      <c r="R213" s="46"/>
      <c r="S213" s="46"/>
    </row>
    <row r="214" spans="16:19" x14ac:dyDescent="0.2">
      <c r="P214" s="54">
        <v>21</v>
      </c>
      <c r="Q214" s="46">
        <v>3</v>
      </c>
      <c r="R214" s="46">
        <v>2</v>
      </c>
      <c r="S214" s="46">
        <v>5</v>
      </c>
    </row>
    <row r="215" spans="16:19" x14ac:dyDescent="0.2">
      <c r="P215" s="55" t="s">
        <v>211</v>
      </c>
      <c r="Q215" s="46"/>
      <c r="R215" s="46"/>
      <c r="S215" s="46"/>
    </row>
    <row r="216" spans="16:19" x14ac:dyDescent="0.2">
      <c r="P216" s="55" t="s">
        <v>199</v>
      </c>
      <c r="Q216" s="46"/>
      <c r="R216" s="46"/>
      <c r="S216" s="46"/>
    </row>
    <row r="217" spans="16:19" x14ac:dyDescent="0.2">
      <c r="P217" s="55" t="s">
        <v>118</v>
      </c>
      <c r="Q217" s="46">
        <v>2</v>
      </c>
      <c r="R217" s="46">
        <v>1</v>
      </c>
      <c r="S217" s="46">
        <v>3</v>
      </c>
    </row>
    <row r="218" spans="16:19" x14ac:dyDescent="0.2">
      <c r="P218" s="55" t="s">
        <v>181</v>
      </c>
      <c r="Q218" s="46"/>
      <c r="R218" s="46"/>
      <c r="S218" s="46"/>
    </row>
    <row r="219" spans="16:19" x14ac:dyDescent="0.2">
      <c r="P219" s="55" t="s">
        <v>71</v>
      </c>
      <c r="Q219" s="46">
        <v>1</v>
      </c>
      <c r="R219" s="46">
        <v>1</v>
      </c>
      <c r="S219" s="46">
        <v>2</v>
      </c>
    </row>
    <row r="220" spans="16:19" x14ac:dyDescent="0.2">
      <c r="P220" s="55" t="s">
        <v>52</v>
      </c>
      <c r="Q220" s="46"/>
      <c r="R220" s="46"/>
      <c r="S220" s="46"/>
    </row>
    <row r="221" spans="16:19" x14ac:dyDescent="0.2">
      <c r="P221" s="55" t="s">
        <v>84</v>
      </c>
      <c r="Q221" s="46"/>
      <c r="R221" s="46"/>
      <c r="S221" s="46"/>
    </row>
    <row r="222" spans="16:19" x14ac:dyDescent="0.2">
      <c r="P222" s="55" t="s">
        <v>139</v>
      </c>
      <c r="Q222" s="46"/>
      <c r="R222" s="46"/>
      <c r="S222" s="46"/>
    </row>
    <row r="223" spans="16:19" x14ac:dyDescent="0.2">
      <c r="P223" s="55" t="s">
        <v>102</v>
      </c>
      <c r="Q223" s="46"/>
      <c r="R223" s="46"/>
      <c r="S223" s="46"/>
    </row>
    <row r="224" spans="16:19" x14ac:dyDescent="0.2">
      <c r="P224" s="47" t="s">
        <v>45</v>
      </c>
      <c r="Q224" s="46">
        <v>12</v>
      </c>
      <c r="R224" s="46">
        <v>10</v>
      </c>
      <c r="S224" s="46">
        <v>22</v>
      </c>
    </row>
    <row r="225" spans="16:19" x14ac:dyDescent="0.2">
      <c r="P225" s="53">
        <v>1</v>
      </c>
      <c r="Q225" s="46">
        <v>6</v>
      </c>
      <c r="R225" s="46">
        <v>5</v>
      </c>
      <c r="S225" s="46">
        <v>11</v>
      </c>
    </row>
    <row r="226" spans="16:19" x14ac:dyDescent="0.2">
      <c r="P226" s="54">
        <v>14</v>
      </c>
      <c r="Q226" s="46">
        <v>3</v>
      </c>
      <c r="R226" s="46">
        <v>1</v>
      </c>
      <c r="S226" s="46">
        <v>4</v>
      </c>
    </row>
    <row r="227" spans="16:19" x14ac:dyDescent="0.2">
      <c r="P227" s="55" t="s">
        <v>211</v>
      </c>
      <c r="Q227" s="46"/>
      <c r="R227" s="46"/>
      <c r="S227" s="46"/>
    </row>
    <row r="228" spans="16:19" x14ac:dyDescent="0.2">
      <c r="P228" s="55" t="s">
        <v>199</v>
      </c>
      <c r="Q228" s="46"/>
      <c r="R228" s="46"/>
      <c r="S228" s="46"/>
    </row>
    <row r="229" spans="16:19" x14ac:dyDescent="0.2">
      <c r="P229" s="55" t="s">
        <v>118</v>
      </c>
      <c r="Q229" s="46">
        <v>2</v>
      </c>
      <c r="R229" s="46">
        <v>1</v>
      </c>
      <c r="S229" s="46">
        <v>3</v>
      </c>
    </row>
    <row r="230" spans="16:19" x14ac:dyDescent="0.2">
      <c r="P230" s="55" t="s">
        <v>181</v>
      </c>
      <c r="Q230" s="46"/>
      <c r="R230" s="46"/>
      <c r="S230" s="46"/>
    </row>
    <row r="231" spans="16:19" x14ac:dyDescent="0.2">
      <c r="P231" s="55" t="s">
        <v>71</v>
      </c>
      <c r="Q231" s="46">
        <v>1</v>
      </c>
      <c r="R231" s="46"/>
      <c r="S231" s="46">
        <v>1</v>
      </c>
    </row>
    <row r="232" spans="16:19" x14ac:dyDescent="0.2">
      <c r="P232" s="55" t="s">
        <v>52</v>
      </c>
      <c r="Q232" s="46"/>
      <c r="R232" s="46"/>
      <c r="S232" s="46"/>
    </row>
    <row r="233" spans="16:19" x14ac:dyDescent="0.2">
      <c r="P233" s="55" t="s">
        <v>84</v>
      </c>
      <c r="Q233" s="46"/>
      <c r="R233" s="46"/>
      <c r="S233" s="46"/>
    </row>
    <row r="234" spans="16:19" x14ac:dyDescent="0.2">
      <c r="P234" s="55" t="s">
        <v>139</v>
      </c>
      <c r="Q234" s="46"/>
      <c r="R234" s="46"/>
      <c r="S234" s="46"/>
    </row>
    <row r="235" spans="16:19" x14ac:dyDescent="0.2">
      <c r="P235" s="55" t="s">
        <v>102</v>
      </c>
      <c r="Q235" s="46"/>
      <c r="R235" s="46"/>
      <c r="S235" s="46"/>
    </row>
    <row r="236" spans="16:19" x14ac:dyDescent="0.2">
      <c r="P236" s="54">
        <v>21</v>
      </c>
      <c r="Q236" s="46">
        <v>3</v>
      </c>
      <c r="R236" s="46">
        <v>4</v>
      </c>
      <c r="S236" s="46">
        <v>7</v>
      </c>
    </row>
    <row r="237" spans="16:19" x14ac:dyDescent="0.2">
      <c r="P237" s="55" t="s">
        <v>211</v>
      </c>
      <c r="Q237" s="46"/>
      <c r="R237" s="46"/>
      <c r="S237" s="46"/>
    </row>
    <row r="238" spans="16:19" x14ac:dyDescent="0.2">
      <c r="P238" s="55" t="s">
        <v>199</v>
      </c>
      <c r="Q238" s="46"/>
      <c r="R238" s="46"/>
      <c r="S238" s="46"/>
    </row>
    <row r="239" spans="16:19" x14ac:dyDescent="0.2">
      <c r="P239" s="55" t="s">
        <v>118</v>
      </c>
      <c r="Q239" s="46">
        <v>2</v>
      </c>
      <c r="R239" s="46">
        <v>3</v>
      </c>
      <c r="S239" s="46">
        <v>5</v>
      </c>
    </row>
    <row r="240" spans="16:19" x14ac:dyDescent="0.2">
      <c r="P240" s="55" t="s">
        <v>181</v>
      </c>
      <c r="Q240" s="46"/>
      <c r="R240" s="46"/>
      <c r="S240" s="46"/>
    </row>
    <row r="241" spans="16:19" x14ac:dyDescent="0.2">
      <c r="P241" s="55" t="s">
        <v>71</v>
      </c>
      <c r="Q241" s="46">
        <v>1</v>
      </c>
      <c r="R241" s="46">
        <v>1</v>
      </c>
      <c r="S241" s="46">
        <v>2</v>
      </c>
    </row>
    <row r="242" spans="16:19" x14ac:dyDescent="0.2">
      <c r="P242" s="55" t="s">
        <v>52</v>
      </c>
      <c r="Q242" s="46"/>
      <c r="R242" s="46"/>
      <c r="S242" s="46"/>
    </row>
    <row r="243" spans="16:19" x14ac:dyDescent="0.2">
      <c r="P243" s="55" t="s">
        <v>84</v>
      </c>
      <c r="Q243" s="46"/>
      <c r="R243" s="46"/>
      <c r="S243" s="46"/>
    </row>
    <row r="244" spans="16:19" x14ac:dyDescent="0.2">
      <c r="P244" s="55" t="s">
        <v>139</v>
      </c>
      <c r="Q244" s="46"/>
      <c r="R244" s="46"/>
      <c r="S244" s="46"/>
    </row>
    <row r="245" spans="16:19" x14ac:dyDescent="0.2">
      <c r="P245" s="55" t="s">
        <v>102</v>
      </c>
      <c r="Q245" s="46"/>
      <c r="R245" s="46"/>
      <c r="S245" s="46"/>
    </row>
    <row r="246" spans="16:19" x14ac:dyDescent="0.2">
      <c r="P246" s="53">
        <v>50</v>
      </c>
      <c r="Q246" s="46">
        <v>6</v>
      </c>
      <c r="R246" s="46">
        <v>5</v>
      </c>
      <c r="S246" s="46">
        <v>11</v>
      </c>
    </row>
    <row r="247" spans="16:19" x14ac:dyDescent="0.2">
      <c r="P247" s="54">
        <v>14</v>
      </c>
      <c r="Q247" s="46">
        <v>3</v>
      </c>
      <c r="R247" s="46">
        <v>2</v>
      </c>
      <c r="S247" s="46">
        <v>5</v>
      </c>
    </row>
    <row r="248" spans="16:19" x14ac:dyDescent="0.2">
      <c r="P248" s="55" t="s">
        <v>211</v>
      </c>
      <c r="Q248" s="46"/>
      <c r="R248" s="46"/>
      <c r="S248" s="46"/>
    </row>
    <row r="249" spans="16:19" x14ac:dyDescent="0.2">
      <c r="P249" s="55" t="s">
        <v>199</v>
      </c>
      <c r="Q249" s="46"/>
      <c r="R249" s="46"/>
      <c r="S249" s="46"/>
    </row>
    <row r="250" spans="16:19" x14ac:dyDescent="0.2">
      <c r="P250" s="55" t="s">
        <v>118</v>
      </c>
      <c r="Q250" s="46">
        <v>2</v>
      </c>
      <c r="R250" s="46">
        <v>1</v>
      </c>
      <c r="S250" s="46">
        <v>3</v>
      </c>
    </row>
    <row r="251" spans="16:19" x14ac:dyDescent="0.2">
      <c r="P251" s="55" t="s">
        <v>181</v>
      </c>
      <c r="Q251" s="46"/>
      <c r="R251" s="46"/>
      <c r="S251" s="46"/>
    </row>
    <row r="252" spans="16:19" x14ac:dyDescent="0.2">
      <c r="P252" s="55" t="s">
        <v>71</v>
      </c>
      <c r="Q252" s="46">
        <v>1</v>
      </c>
      <c r="R252" s="46">
        <v>1</v>
      </c>
      <c r="S252" s="46">
        <v>2</v>
      </c>
    </row>
    <row r="253" spans="16:19" x14ac:dyDescent="0.2">
      <c r="P253" s="55" t="s">
        <v>52</v>
      </c>
      <c r="Q253" s="46"/>
      <c r="R253" s="46"/>
      <c r="S253" s="46"/>
    </row>
    <row r="254" spans="16:19" x14ac:dyDescent="0.2">
      <c r="P254" s="55" t="s">
        <v>84</v>
      </c>
      <c r="Q254" s="46"/>
      <c r="R254" s="46"/>
      <c r="S254" s="46"/>
    </row>
    <row r="255" spans="16:19" x14ac:dyDescent="0.2">
      <c r="P255" s="55" t="s">
        <v>139</v>
      </c>
      <c r="Q255" s="46"/>
      <c r="R255" s="46"/>
      <c r="S255" s="46"/>
    </row>
    <row r="256" spans="16:19" x14ac:dyDescent="0.2">
      <c r="P256" s="55" t="s">
        <v>102</v>
      </c>
      <c r="Q256" s="46"/>
      <c r="R256" s="46"/>
      <c r="S256" s="46"/>
    </row>
    <row r="257" spans="16:19" x14ac:dyDescent="0.2">
      <c r="P257" s="54">
        <v>21</v>
      </c>
      <c r="Q257" s="46">
        <v>3</v>
      </c>
      <c r="R257" s="46">
        <v>3</v>
      </c>
      <c r="S257" s="46">
        <v>6</v>
      </c>
    </row>
    <row r="258" spans="16:19" x14ac:dyDescent="0.2">
      <c r="P258" s="55" t="s">
        <v>211</v>
      </c>
      <c r="Q258" s="46"/>
      <c r="R258" s="46"/>
      <c r="S258" s="46"/>
    </row>
    <row r="259" spans="16:19" x14ac:dyDescent="0.2">
      <c r="P259" s="55" t="s">
        <v>199</v>
      </c>
      <c r="Q259" s="46"/>
      <c r="R259" s="46"/>
      <c r="S259" s="46"/>
    </row>
    <row r="260" spans="16:19" x14ac:dyDescent="0.2">
      <c r="P260" s="55" t="s">
        <v>118</v>
      </c>
      <c r="Q260" s="46">
        <v>2</v>
      </c>
      <c r="R260" s="46">
        <v>2</v>
      </c>
      <c r="S260" s="46">
        <v>4</v>
      </c>
    </row>
    <row r="261" spans="16:19" x14ac:dyDescent="0.2">
      <c r="P261" s="55" t="s">
        <v>181</v>
      </c>
      <c r="Q261" s="46"/>
      <c r="R261" s="46"/>
      <c r="S261" s="46"/>
    </row>
    <row r="262" spans="16:19" x14ac:dyDescent="0.2">
      <c r="P262" s="55" t="s">
        <v>71</v>
      </c>
      <c r="Q262" s="46">
        <v>1</v>
      </c>
      <c r="R262" s="46">
        <v>1</v>
      </c>
      <c r="S262" s="46">
        <v>2</v>
      </c>
    </row>
    <row r="263" spans="16:19" x14ac:dyDescent="0.2">
      <c r="P263" s="55" t="s">
        <v>52</v>
      </c>
      <c r="Q263" s="46"/>
      <c r="R263" s="46"/>
      <c r="S263" s="46"/>
    </row>
    <row r="264" spans="16:19" x14ac:dyDescent="0.2">
      <c r="P264" s="55" t="s">
        <v>84</v>
      </c>
      <c r="Q264" s="46"/>
      <c r="R264" s="46"/>
      <c r="S264" s="46"/>
    </row>
    <row r="265" spans="16:19" x14ac:dyDescent="0.2">
      <c r="P265" s="55" t="s">
        <v>139</v>
      </c>
      <c r="Q265" s="46"/>
      <c r="R265" s="46"/>
      <c r="S265" s="46"/>
    </row>
    <row r="266" spans="16:19" x14ac:dyDescent="0.2">
      <c r="P266" s="55" t="s">
        <v>102</v>
      </c>
      <c r="Q266" s="46"/>
      <c r="R266" s="46"/>
      <c r="S266" s="46"/>
    </row>
    <row r="267" spans="16:19" x14ac:dyDescent="0.2">
      <c r="P267" s="45" t="s">
        <v>60</v>
      </c>
      <c r="Q267" s="46">
        <v>19</v>
      </c>
      <c r="R267" s="46">
        <v>18</v>
      </c>
      <c r="S267" s="46">
        <v>37</v>
      </c>
    </row>
    <row r="268" spans="16:19" x14ac:dyDescent="0.2">
      <c r="P268" s="47" t="s">
        <v>74</v>
      </c>
      <c r="Q268" s="46">
        <v>11</v>
      </c>
      <c r="R268" s="46">
        <v>13</v>
      </c>
      <c r="S268" s="46">
        <v>24</v>
      </c>
    </row>
    <row r="269" spans="16:19" x14ac:dyDescent="0.2">
      <c r="P269" s="53">
        <v>1</v>
      </c>
      <c r="Q269" s="46">
        <v>4</v>
      </c>
      <c r="R269" s="46">
        <v>7</v>
      </c>
      <c r="S269" s="46">
        <v>11</v>
      </c>
    </row>
    <row r="270" spans="16:19" x14ac:dyDescent="0.2">
      <c r="P270" s="54">
        <v>14</v>
      </c>
      <c r="Q270" s="46">
        <v>1</v>
      </c>
      <c r="R270" s="46">
        <v>3</v>
      </c>
      <c r="S270" s="46">
        <v>4</v>
      </c>
    </row>
    <row r="271" spans="16:19" x14ac:dyDescent="0.2">
      <c r="P271" s="55" t="s">
        <v>211</v>
      </c>
      <c r="Q271" s="46"/>
      <c r="R271" s="46"/>
      <c r="S271" s="46"/>
    </row>
    <row r="272" spans="16:19" x14ac:dyDescent="0.2">
      <c r="P272" s="55" t="s">
        <v>199</v>
      </c>
      <c r="Q272" s="46"/>
      <c r="R272" s="46"/>
      <c r="S272" s="46"/>
    </row>
    <row r="273" spans="16:19" x14ac:dyDescent="0.2">
      <c r="P273" s="55" t="s">
        <v>118</v>
      </c>
      <c r="Q273" s="46">
        <v>1</v>
      </c>
      <c r="R273" s="46">
        <v>3</v>
      </c>
      <c r="S273" s="46">
        <v>4</v>
      </c>
    </row>
    <row r="274" spans="16:19" x14ac:dyDescent="0.2">
      <c r="P274" s="55" t="s">
        <v>181</v>
      </c>
      <c r="Q274" s="46"/>
      <c r="R274" s="46"/>
      <c r="S274" s="46"/>
    </row>
    <row r="275" spans="16:19" x14ac:dyDescent="0.2">
      <c r="P275" s="55" t="s">
        <v>71</v>
      </c>
      <c r="Q275" s="46"/>
      <c r="R275" s="46"/>
      <c r="S275" s="46"/>
    </row>
    <row r="276" spans="16:19" x14ac:dyDescent="0.2">
      <c r="P276" s="55" t="s">
        <v>52</v>
      </c>
      <c r="Q276" s="46"/>
      <c r="R276" s="46"/>
      <c r="S276" s="46"/>
    </row>
    <row r="277" spans="16:19" x14ac:dyDescent="0.2">
      <c r="P277" s="55" t="s">
        <v>84</v>
      </c>
      <c r="Q277" s="46"/>
      <c r="R277" s="46"/>
      <c r="S277" s="46"/>
    </row>
    <row r="278" spans="16:19" x14ac:dyDescent="0.2">
      <c r="P278" s="55" t="s">
        <v>139</v>
      </c>
      <c r="Q278" s="46"/>
      <c r="R278" s="46"/>
      <c r="S278" s="46"/>
    </row>
    <row r="279" spans="16:19" x14ac:dyDescent="0.2">
      <c r="P279" s="55" t="s">
        <v>102</v>
      </c>
      <c r="Q279" s="46"/>
      <c r="R279" s="46"/>
      <c r="S279" s="46"/>
    </row>
    <row r="280" spans="16:19" x14ac:dyDescent="0.2">
      <c r="P280" s="54">
        <v>21</v>
      </c>
      <c r="Q280" s="46">
        <v>3</v>
      </c>
      <c r="R280" s="46">
        <v>4</v>
      </c>
      <c r="S280" s="46">
        <v>7</v>
      </c>
    </row>
    <row r="281" spans="16:19" x14ac:dyDescent="0.2">
      <c r="P281" s="55" t="s">
        <v>211</v>
      </c>
      <c r="Q281" s="46"/>
      <c r="R281" s="46"/>
      <c r="S281" s="46"/>
    </row>
    <row r="282" spans="16:19" x14ac:dyDescent="0.2">
      <c r="P282" s="55" t="s">
        <v>199</v>
      </c>
      <c r="Q282" s="46"/>
      <c r="R282" s="46"/>
      <c r="S282" s="46"/>
    </row>
    <row r="283" spans="16:19" x14ac:dyDescent="0.2">
      <c r="P283" s="55" t="s">
        <v>118</v>
      </c>
      <c r="Q283" s="46">
        <v>3</v>
      </c>
      <c r="R283" s="46">
        <v>4</v>
      </c>
      <c r="S283" s="46">
        <v>7</v>
      </c>
    </row>
    <row r="284" spans="16:19" x14ac:dyDescent="0.2">
      <c r="P284" s="55" t="s">
        <v>181</v>
      </c>
      <c r="Q284" s="46"/>
      <c r="R284" s="46"/>
      <c r="S284" s="46"/>
    </row>
    <row r="285" spans="16:19" x14ac:dyDescent="0.2">
      <c r="P285" s="55" t="s">
        <v>71</v>
      </c>
      <c r="Q285" s="46"/>
      <c r="R285" s="46"/>
      <c r="S285" s="46"/>
    </row>
    <row r="286" spans="16:19" x14ac:dyDescent="0.2">
      <c r="P286" s="55" t="s">
        <v>52</v>
      </c>
      <c r="Q286" s="46"/>
      <c r="R286" s="46"/>
      <c r="S286" s="46"/>
    </row>
    <row r="287" spans="16:19" x14ac:dyDescent="0.2">
      <c r="P287" s="55" t="s">
        <v>84</v>
      </c>
      <c r="Q287" s="46"/>
      <c r="R287" s="46"/>
      <c r="S287" s="46"/>
    </row>
    <row r="288" spans="16:19" x14ac:dyDescent="0.2">
      <c r="P288" s="55" t="s">
        <v>139</v>
      </c>
      <c r="Q288" s="46"/>
      <c r="R288" s="46"/>
      <c r="S288" s="46"/>
    </row>
    <row r="289" spans="16:19" x14ac:dyDescent="0.2">
      <c r="P289" s="55" t="s">
        <v>102</v>
      </c>
      <c r="Q289" s="46"/>
      <c r="R289" s="46"/>
      <c r="S289" s="46"/>
    </row>
    <row r="290" spans="16:19" x14ac:dyDescent="0.2">
      <c r="P290" s="53">
        <v>50</v>
      </c>
      <c r="Q290" s="46">
        <v>7</v>
      </c>
      <c r="R290" s="46">
        <v>6</v>
      </c>
      <c r="S290" s="46">
        <v>13</v>
      </c>
    </row>
    <row r="291" spans="16:19" x14ac:dyDescent="0.2">
      <c r="P291" s="54">
        <v>14</v>
      </c>
      <c r="Q291" s="46">
        <v>4</v>
      </c>
      <c r="R291" s="46">
        <v>3</v>
      </c>
      <c r="S291" s="46">
        <v>7</v>
      </c>
    </row>
    <row r="292" spans="16:19" x14ac:dyDescent="0.2">
      <c r="P292" s="55" t="s">
        <v>211</v>
      </c>
      <c r="Q292" s="46"/>
      <c r="R292" s="46"/>
      <c r="S292" s="46"/>
    </row>
    <row r="293" spans="16:19" x14ac:dyDescent="0.2">
      <c r="P293" s="55" t="s">
        <v>199</v>
      </c>
      <c r="Q293" s="46"/>
      <c r="R293" s="46"/>
      <c r="S293" s="46"/>
    </row>
    <row r="294" spans="16:19" x14ac:dyDescent="0.2">
      <c r="P294" s="55" t="s">
        <v>118</v>
      </c>
      <c r="Q294" s="46">
        <v>3</v>
      </c>
      <c r="R294" s="46">
        <v>1</v>
      </c>
      <c r="S294" s="46">
        <v>4</v>
      </c>
    </row>
    <row r="295" spans="16:19" x14ac:dyDescent="0.2">
      <c r="P295" s="55" t="s">
        <v>181</v>
      </c>
      <c r="Q295" s="46"/>
      <c r="R295" s="46"/>
      <c r="S295" s="46"/>
    </row>
    <row r="296" spans="16:19" x14ac:dyDescent="0.2">
      <c r="P296" s="55" t="s">
        <v>71</v>
      </c>
      <c r="Q296" s="46">
        <v>1</v>
      </c>
      <c r="R296" s="46">
        <v>2</v>
      </c>
      <c r="S296" s="46">
        <v>3</v>
      </c>
    </row>
    <row r="297" spans="16:19" x14ac:dyDescent="0.2">
      <c r="P297" s="55" t="s">
        <v>52</v>
      </c>
      <c r="Q297" s="46"/>
      <c r="R297" s="46"/>
      <c r="S297" s="46"/>
    </row>
    <row r="298" spans="16:19" x14ac:dyDescent="0.2">
      <c r="P298" s="55" t="s">
        <v>84</v>
      </c>
      <c r="Q298" s="46"/>
      <c r="R298" s="46"/>
      <c r="S298" s="46"/>
    </row>
    <row r="299" spans="16:19" x14ac:dyDescent="0.2">
      <c r="P299" s="55" t="s">
        <v>139</v>
      </c>
      <c r="Q299" s="46"/>
      <c r="R299" s="46"/>
      <c r="S299" s="46"/>
    </row>
    <row r="300" spans="16:19" x14ac:dyDescent="0.2">
      <c r="P300" s="55" t="s">
        <v>102</v>
      </c>
      <c r="Q300" s="46"/>
      <c r="R300" s="46"/>
      <c r="S300" s="46"/>
    </row>
    <row r="301" spans="16:19" x14ac:dyDescent="0.2">
      <c r="P301" s="54">
        <v>21</v>
      </c>
      <c r="Q301" s="46">
        <v>3</v>
      </c>
      <c r="R301" s="46">
        <v>3</v>
      </c>
      <c r="S301" s="46">
        <v>6</v>
      </c>
    </row>
    <row r="302" spans="16:19" x14ac:dyDescent="0.2">
      <c r="P302" s="55" t="s">
        <v>211</v>
      </c>
      <c r="Q302" s="46"/>
      <c r="R302" s="46"/>
      <c r="S302" s="46"/>
    </row>
    <row r="303" spans="16:19" x14ac:dyDescent="0.2">
      <c r="P303" s="55" t="s">
        <v>199</v>
      </c>
      <c r="Q303" s="46"/>
      <c r="R303" s="46"/>
      <c r="S303" s="46"/>
    </row>
    <row r="304" spans="16:19" x14ac:dyDescent="0.2">
      <c r="P304" s="55" t="s">
        <v>118</v>
      </c>
      <c r="Q304" s="46">
        <v>2</v>
      </c>
      <c r="R304" s="46">
        <v>2</v>
      </c>
      <c r="S304" s="46">
        <v>4</v>
      </c>
    </row>
    <row r="305" spans="16:19" x14ac:dyDescent="0.2">
      <c r="P305" s="55" t="s">
        <v>181</v>
      </c>
      <c r="Q305" s="46"/>
      <c r="R305" s="46"/>
      <c r="S305" s="46"/>
    </row>
    <row r="306" spans="16:19" x14ac:dyDescent="0.2">
      <c r="P306" s="55" t="s">
        <v>71</v>
      </c>
      <c r="Q306" s="46">
        <v>1</v>
      </c>
      <c r="R306" s="46">
        <v>1</v>
      </c>
      <c r="S306" s="46">
        <v>2</v>
      </c>
    </row>
    <row r="307" spans="16:19" x14ac:dyDescent="0.2">
      <c r="P307" s="55" t="s">
        <v>52</v>
      </c>
      <c r="Q307" s="46"/>
      <c r="R307" s="46"/>
      <c r="S307" s="46"/>
    </row>
    <row r="308" spans="16:19" x14ac:dyDescent="0.2">
      <c r="P308" s="55" t="s">
        <v>84</v>
      </c>
      <c r="Q308" s="46"/>
      <c r="R308" s="46"/>
      <c r="S308" s="46"/>
    </row>
    <row r="309" spans="16:19" x14ac:dyDescent="0.2">
      <c r="P309" s="55" t="s">
        <v>139</v>
      </c>
      <c r="Q309" s="46"/>
      <c r="R309" s="46"/>
      <c r="S309" s="46"/>
    </row>
    <row r="310" spans="16:19" x14ac:dyDescent="0.2">
      <c r="P310" s="55" t="s">
        <v>102</v>
      </c>
      <c r="Q310" s="46"/>
      <c r="R310" s="46"/>
      <c r="S310" s="46"/>
    </row>
    <row r="311" spans="16:19" x14ac:dyDescent="0.2">
      <c r="P311" s="47" t="s">
        <v>45</v>
      </c>
      <c r="Q311" s="46">
        <v>8</v>
      </c>
      <c r="R311" s="46">
        <v>5</v>
      </c>
      <c r="S311" s="46">
        <v>13</v>
      </c>
    </row>
    <row r="312" spans="16:19" x14ac:dyDescent="0.2">
      <c r="P312" s="53">
        <v>1</v>
      </c>
      <c r="Q312" s="46">
        <v>4</v>
      </c>
      <c r="R312" s="46">
        <v>2</v>
      </c>
      <c r="S312" s="46">
        <v>6</v>
      </c>
    </row>
    <row r="313" spans="16:19" x14ac:dyDescent="0.2">
      <c r="P313" s="54">
        <v>14</v>
      </c>
      <c r="Q313" s="46">
        <v>2</v>
      </c>
      <c r="R313" s="46">
        <v>2</v>
      </c>
      <c r="S313" s="46">
        <v>4</v>
      </c>
    </row>
    <row r="314" spans="16:19" x14ac:dyDescent="0.2">
      <c r="P314" s="55" t="s">
        <v>211</v>
      </c>
      <c r="Q314" s="46"/>
      <c r="R314" s="46"/>
      <c r="S314" s="46"/>
    </row>
    <row r="315" spans="16:19" x14ac:dyDescent="0.2">
      <c r="P315" s="55" t="s">
        <v>199</v>
      </c>
      <c r="Q315" s="46"/>
      <c r="R315" s="46"/>
      <c r="S315" s="46"/>
    </row>
    <row r="316" spans="16:19" x14ac:dyDescent="0.2">
      <c r="P316" s="55" t="s">
        <v>118</v>
      </c>
      <c r="Q316" s="46">
        <v>1</v>
      </c>
      <c r="R316" s="46">
        <v>2</v>
      </c>
      <c r="S316" s="46">
        <v>3</v>
      </c>
    </row>
    <row r="317" spans="16:19" x14ac:dyDescent="0.2">
      <c r="P317" s="55" t="s">
        <v>181</v>
      </c>
      <c r="Q317" s="46"/>
      <c r="R317" s="46"/>
      <c r="S317" s="46"/>
    </row>
    <row r="318" spans="16:19" x14ac:dyDescent="0.2">
      <c r="P318" s="55" t="s">
        <v>71</v>
      </c>
      <c r="Q318" s="46">
        <v>1</v>
      </c>
      <c r="R318" s="46"/>
      <c r="S318" s="46">
        <v>1</v>
      </c>
    </row>
    <row r="319" spans="16:19" x14ac:dyDescent="0.2">
      <c r="P319" s="55" t="s">
        <v>52</v>
      </c>
      <c r="Q319" s="46"/>
      <c r="R319" s="46"/>
      <c r="S319" s="46"/>
    </row>
    <row r="320" spans="16:19" x14ac:dyDescent="0.2">
      <c r="P320" s="55" t="s">
        <v>84</v>
      </c>
      <c r="Q320" s="46"/>
      <c r="R320" s="46"/>
      <c r="S320" s="46"/>
    </row>
    <row r="321" spans="16:19" x14ac:dyDescent="0.2">
      <c r="P321" s="55" t="s">
        <v>139</v>
      </c>
      <c r="Q321" s="46"/>
      <c r="R321" s="46"/>
      <c r="S321" s="46"/>
    </row>
    <row r="322" spans="16:19" x14ac:dyDescent="0.2">
      <c r="P322" s="55" t="s">
        <v>102</v>
      </c>
      <c r="Q322" s="46"/>
      <c r="R322" s="46"/>
      <c r="S322" s="46"/>
    </row>
    <row r="323" spans="16:19" x14ac:dyDescent="0.2">
      <c r="P323" s="54">
        <v>21</v>
      </c>
      <c r="Q323" s="46">
        <v>2</v>
      </c>
      <c r="R323" s="46"/>
      <c r="S323" s="46">
        <v>2</v>
      </c>
    </row>
    <row r="324" spans="16:19" x14ac:dyDescent="0.2">
      <c r="P324" s="55" t="s">
        <v>211</v>
      </c>
      <c r="Q324" s="46"/>
      <c r="R324" s="46"/>
      <c r="S324" s="46"/>
    </row>
    <row r="325" spans="16:19" x14ac:dyDescent="0.2">
      <c r="P325" s="55" t="s">
        <v>199</v>
      </c>
      <c r="Q325" s="46"/>
      <c r="R325" s="46"/>
      <c r="S325" s="46"/>
    </row>
    <row r="326" spans="16:19" x14ac:dyDescent="0.2">
      <c r="P326" s="55" t="s">
        <v>118</v>
      </c>
      <c r="Q326" s="46">
        <v>1</v>
      </c>
      <c r="R326" s="46"/>
      <c r="S326" s="46">
        <v>1</v>
      </c>
    </row>
    <row r="327" spans="16:19" x14ac:dyDescent="0.2">
      <c r="P327" s="55" t="s">
        <v>181</v>
      </c>
      <c r="Q327" s="46"/>
      <c r="R327" s="46"/>
      <c r="S327" s="46"/>
    </row>
    <row r="328" spans="16:19" x14ac:dyDescent="0.2">
      <c r="P328" s="55" t="s">
        <v>71</v>
      </c>
      <c r="Q328" s="46">
        <v>1</v>
      </c>
      <c r="R328" s="46"/>
      <c r="S328" s="46">
        <v>1</v>
      </c>
    </row>
    <row r="329" spans="16:19" x14ac:dyDescent="0.2">
      <c r="P329" s="55" t="s">
        <v>52</v>
      </c>
      <c r="Q329" s="46"/>
      <c r="R329" s="46"/>
      <c r="S329" s="46"/>
    </row>
    <row r="330" spans="16:19" x14ac:dyDescent="0.2">
      <c r="P330" s="55" t="s">
        <v>84</v>
      </c>
      <c r="Q330" s="46"/>
      <c r="R330" s="46"/>
      <c r="S330" s="46"/>
    </row>
    <row r="331" spans="16:19" x14ac:dyDescent="0.2">
      <c r="P331" s="55" t="s">
        <v>139</v>
      </c>
      <c r="Q331" s="46"/>
      <c r="R331" s="46"/>
      <c r="S331" s="46"/>
    </row>
    <row r="332" spans="16:19" x14ac:dyDescent="0.2">
      <c r="P332" s="55" t="s">
        <v>102</v>
      </c>
      <c r="Q332" s="46"/>
      <c r="R332" s="46"/>
      <c r="S332" s="46"/>
    </row>
    <row r="333" spans="16:19" x14ac:dyDescent="0.2">
      <c r="P333" s="53">
        <v>50</v>
      </c>
      <c r="Q333" s="46">
        <v>4</v>
      </c>
      <c r="R333" s="46">
        <v>3</v>
      </c>
      <c r="S333" s="46">
        <v>7</v>
      </c>
    </row>
    <row r="334" spans="16:19" x14ac:dyDescent="0.2">
      <c r="P334" s="54">
        <v>14</v>
      </c>
      <c r="Q334" s="46">
        <v>2</v>
      </c>
      <c r="R334" s="46">
        <v>2</v>
      </c>
      <c r="S334" s="46">
        <v>4</v>
      </c>
    </row>
    <row r="335" spans="16:19" x14ac:dyDescent="0.2">
      <c r="P335" s="55" t="s">
        <v>211</v>
      </c>
      <c r="Q335" s="46"/>
      <c r="R335" s="46"/>
      <c r="S335" s="46"/>
    </row>
    <row r="336" spans="16:19" x14ac:dyDescent="0.2">
      <c r="P336" s="55" t="s">
        <v>199</v>
      </c>
      <c r="Q336" s="46"/>
      <c r="R336" s="46"/>
      <c r="S336" s="46"/>
    </row>
    <row r="337" spans="16:19" x14ac:dyDescent="0.2">
      <c r="P337" s="55" t="s">
        <v>118</v>
      </c>
      <c r="Q337" s="46">
        <v>2</v>
      </c>
      <c r="R337" s="46">
        <v>2</v>
      </c>
      <c r="S337" s="46">
        <v>4</v>
      </c>
    </row>
    <row r="338" spans="16:19" x14ac:dyDescent="0.2">
      <c r="P338" s="55" t="s">
        <v>181</v>
      </c>
      <c r="Q338" s="46"/>
      <c r="R338" s="46"/>
      <c r="S338" s="46"/>
    </row>
    <row r="339" spans="16:19" x14ac:dyDescent="0.2">
      <c r="P339" s="55" t="s">
        <v>71</v>
      </c>
      <c r="Q339" s="46"/>
      <c r="R339" s="46"/>
      <c r="S339" s="46"/>
    </row>
    <row r="340" spans="16:19" x14ac:dyDescent="0.2">
      <c r="P340" s="55" t="s">
        <v>52</v>
      </c>
      <c r="Q340" s="46"/>
      <c r="R340" s="46"/>
      <c r="S340" s="46"/>
    </row>
    <row r="341" spans="16:19" x14ac:dyDescent="0.2">
      <c r="P341" s="55" t="s">
        <v>84</v>
      </c>
      <c r="Q341" s="46"/>
      <c r="R341" s="46"/>
      <c r="S341" s="46"/>
    </row>
    <row r="342" spans="16:19" x14ac:dyDescent="0.2">
      <c r="P342" s="55" t="s">
        <v>139</v>
      </c>
      <c r="Q342" s="46"/>
      <c r="R342" s="46"/>
      <c r="S342" s="46"/>
    </row>
    <row r="343" spans="16:19" x14ac:dyDescent="0.2">
      <c r="P343" s="55" t="s">
        <v>102</v>
      </c>
      <c r="Q343" s="46"/>
      <c r="R343" s="46"/>
      <c r="S343" s="46"/>
    </row>
    <row r="344" spans="16:19" x14ac:dyDescent="0.2">
      <c r="P344" s="54">
        <v>21</v>
      </c>
      <c r="Q344" s="46">
        <v>2</v>
      </c>
      <c r="R344" s="46">
        <v>1</v>
      </c>
      <c r="S344" s="46">
        <v>3</v>
      </c>
    </row>
    <row r="345" spans="16:19" x14ac:dyDescent="0.2">
      <c r="P345" s="55" t="s">
        <v>211</v>
      </c>
      <c r="Q345" s="46"/>
      <c r="R345" s="46"/>
      <c r="S345" s="46"/>
    </row>
    <row r="346" spans="16:19" x14ac:dyDescent="0.2">
      <c r="P346" s="55" t="s">
        <v>199</v>
      </c>
      <c r="Q346" s="46"/>
      <c r="R346" s="46"/>
      <c r="S346" s="46"/>
    </row>
    <row r="347" spans="16:19" x14ac:dyDescent="0.2">
      <c r="P347" s="55" t="s">
        <v>118</v>
      </c>
      <c r="Q347" s="46">
        <v>2</v>
      </c>
      <c r="R347" s="46">
        <v>1</v>
      </c>
      <c r="S347" s="46">
        <v>3</v>
      </c>
    </row>
    <row r="348" spans="16:19" x14ac:dyDescent="0.2">
      <c r="P348" s="55" t="s">
        <v>181</v>
      </c>
      <c r="Q348" s="46"/>
      <c r="R348" s="46"/>
      <c r="S348" s="46"/>
    </row>
    <row r="349" spans="16:19" x14ac:dyDescent="0.2">
      <c r="P349" s="55" t="s">
        <v>71</v>
      </c>
      <c r="Q349" s="46"/>
      <c r="R349" s="46"/>
      <c r="S349" s="46"/>
    </row>
    <row r="350" spans="16:19" x14ac:dyDescent="0.2">
      <c r="P350" s="55" t="s">
        <v>52</v>
      </c>
      <c r="Q350" s="46"/>
      <c r="R350" s="46"/>
      <c r="S350" s="46"/>
    </row>
    <row r="351" spans="16:19" x14ac:dyDescent="0.2">
      <c r="P351" s="55" t="s">
        <v>84</v>
      </c>
      <c r="Q351" s="46"/>
      <c r="R351" s="46"/>
      <c r="S351" s="46"/>
    </row>
    <row r="352" spans="16:19" x14ac:dyDescent="0.2">
      <c r="P352" s="55" t="s">
        <v>139</v>
      </c>
      <c r="Q352" s="46"/>
      <c r="R352" s="46"/>
      <c r="S352" s="46"/>
    </row>
    <row r="353" spans="16:19" x14ac:dyDescent="0.2">
      <c r="P353" s="55" t="s">
        <v>102</v>
      </c>
      <c r="Q353" s="46"/>
      <c r="R353" s="46"/>
      <c r="S353" s="46"/>
    </row>
    <row r="354" spans="16:19" x14ac:dyDescent="0.2">
      <c r="P354" s="45" t="s">
        <v>64</v>
      </c>
      <c r="Q354" s="46">
        <v>26</v>
      </c>
      <c r="R354" s="46">
        <v>26</v>
      </c>
      <c r="S354" s="46">
        <v>52</v>
      </c>
    </row>
    <row r="355" spans="16:19" x14ac:dyDescent="0.2">
      <c r="P355" s="47" t="s">
        <v>74</v>
      </c>
      <c r="Q355" s="46">
        <v>11</v>
      </c>
      <c r="R355" s="46">
        <v>16</v>
      </c>
      <c r="S355" s="46">
        <v>27</v>
      </c>
    </row>
    <row r="356" spans="16:19" x14ac:dyDescent="0.2">
      <c r="P356" s="53">
        <v>1</v>
      </c>
      <c r="Q356" s="46">
        <v>4</v>
      </c>
      <c r="R356" s="46">
        <v>8</v>
      </c>
      <c r="S356" s="46">
        <v>12</v>
      </c>
    </row>
    <row r="357" spans="16:19" x14ac:dyDescent="0.2">
      <c r="P357" s="54">
        <v>14</v>
      </c>
      <c r="Q357" s="46">
        <v>3</v>
      </c>
      <c r="R357" s="46">
        <v>4</v>
      </c>
      <c r="S357" s="46">
        <v>7</v>
      </c>
    </row>
    <row r="358" spans="16:19" x14ac:dyDescent="0.2">
      <c r="P358" s="55" t="s">
        <v>211</v>
      </c>
      <c r="Q358" s="46"/>
      <c r="R358" s="46"/>
      <c r="S358" s="46"/>
    </row>
    <row r="359" spans="16:19" x14ac:dyDescent="0.2">
      <c r="P359" s="55" t="s">
        <v>199</v>
      </c>
      <c r="Q359" s="46"/>
      <c r="R359" s="46"/>
      <c r="S359" s="46"/>
    </row>
    <row r="360" spans="16:19" x14ac:dyDescent="0.2">
      <c r="P360" s="55" t="s">
        <v>118</v>
      </c>
      <c r="Q360" s="46">
        <v>3</v>
      </c>
      <c r="R360" s="46">
        <v>4</v>
      </c>
      <c r="S360" s="46">
        <v>7</v>
      </c>
    </row>
    <row r="361" spans="16:19" x14ac:dyDescent="0.2">
      <c r="P361" s="55" t="s">
        <v>181</v>
      </c>
      <c r="Q361" s="46"/>
      <c r="R361" s="46"/>
      <c r="S361" s="46"/>
    </row>
    <row r="362" spans="16:19" x14ac:dyDescent="0.2">
      <c r="P362" s="55" t="s">
        <v>71</v>
      </c>
      <c r="Q362" s="46"/>
      <c r="R362" s="46"/>
      <c r="S362" s="46"/>
    </row>
    <row r="363" spans="16:19" x14ac:dyDescent="0.2">
      <c r="P363" s="55" t="s">
        <v>52</v>
      </c>
      <c r="Q363" s="46"/>
      <c r="R363" s="46"/>
      <c r="S363" s="46"/>
    </row>
    <row r="364" spans="16:19" x14ac:dyDescent="0.2">
      <c r="P364" s="55" t="s">
        <v>84</v>
      </c>
      <c r="Q364" s="46"/>
      <c r="R364" s="46"/>
      <c r="S364" s="46"/>
    </row>
    <row r="365" spans="16:19" x14ac:dyDescent="0.2">
      <c r="P365" s="55" t="s">
        <v>139</v>
      </c>
      <c r="Q365" s="46"/>
      <c r="R365" s="46"/>
      <c r="S365" s="46"/>
    </row>
    <row r="366" spans="16:19" x14ac:dyDescent="0.2">
      <c r="P366" s="55" t="s">
        <v>102</v>
      </c>
      <c r="Q366" s="46"/>
      <c r="R366" s="46"/>
      <c r="S366" s="46"/>
    </row>
    <row r="367" spans="16:19" x14ac:dyDescent="0.2">
      <c r="P367" s="54">
        <v>21</v>
      </c>
      <c r="Q367" s="46">
        <v>1</v>
      </c>
      <c r="R367" s="46">
        <v>4</v>
      </c>
      <c r="S367" s="46">
        <v>5</v>
      </c>
    </row>
    <row r="368" spans="16:19" x14ac:dyDescent="0.2">
      <c r="P368" s="55" t="s">
        <v>211</v>
      </c>
      <c r="Q368" s="46"/>
      <c r="R368" s="46"/>
      <c r="S368" s="46"/>
    </row>
    <row r="369" spans="16:19" x14ac:dyDescent="0.2">
      <c r="P369" s="55" t="s">
        <v>199</v>
      </c>
      <c r="Q369" s="46"/>
      <c r="R369" s="46"/>
      <c r="S369" s="46"/>
    </row>
    <row r="370" spans="16:19" x14ac:dyDescent="0.2">
      <c r="P370" s="55" t="s">
        <v>118</v>
      </c>
      <c r="Q370" s="46">
        <v>1</v>
      </c>
      <c r="R370" s="46">
        <v>3</v>
      </c>
      <c r="S370" s="46">
        <v>4</v>
      </c>
    </row>
    <row r="371" spans="16:19" x14ac:dyDescent="0.2">
      <c r="P371" s="55" t="s">
        <v>181</v>
      </c>
      <c r="Q371" s="46"/>
      <c r="R371" s="46"/>
      <c r="S371" s="46"/>
    </row>
    <row r="372" spans="16:19" x14ac:dyDescent="0.2">
      <c r="P372" s="55" t="s">
        <v>71</v>
      </c>
      <c r="Q372" s="46"/>
      <c r="R372" s="46">
        <v>1</v>
      </c>
      <c r="S372" s="46">
        <v>1</v>
      </c>
    </row>
    <row r="373" spans="16:19" x14ac:dyDescent="0.2">
      <c r="P373" s="55" t="s">
        <v>52</v>
      </c>
      <c r="Q373" s="46"/>
      <c r="R373" s="46"/>
      <c r="S373" s="46"/>
    </row>
    <row r="374" spans="16:19" x14ac:dyDescent="0.2">
      <c r="P374" s="55" t="s">
        <v>84</v>
      </c>
      <c r="Q374" s="46"/>
      <c r="R374" s="46"/>
      <c r="S374" s="46"/>
    </row>
    <row r="375" spans="16:19" x14ac:dyDescent="0.2">
      <c r="P375" s="55" t="s">
        <v>139</v>
      </c>
      <c r="Q375" s="46"/>
      <c r="R375" s="46"/>
      <c r="S375" s="46"/>
    </row>
    <row r="376" spans="16:19" x14ac:dyDescent="0.2">
      <c r="P376" s="55" t="s">
        <v>102</v>
      </c>
      <c r="Q376" s="46"/>
      <c r="R376" s="46"/>
      <c r="S376" s="46"/>
    </row>
    <row r="377" spans="16:19" x14ac:dyDescent="0.2">
      <c r="P377" s="53">
        <v>50</v>
      </c>
      <c r="Q377" s="46">
        <v>7</v>
      </c>
      <c r="R377" s="46">
        <v>8</v>
      </c>
      <c r="S377" s="46">
        <v>15</v>
      </c>
    </row>
    <row r="378" spans="16:19" x14ac:dyDescent="0.2">
      <c r="P378" s="54">
        <v>14</v>
      </c>
      <c r="Q378" s="46">
        <v>4</v>
      </c>
      <c r="R378" s="46">
        <v>4</v>
      </c>
      <c r="S378" s="46">
        <v>8</v>
      </c>
    </row>
    <row r="379" spans="16:19" x14ac:dyDescent="0.2">
      <c r="P379" s="55" t="s">
        <v>211</v>
      </c>
      <c r="Q379" s="46"/>
      <c r="R379" s="46"/>
      <c r="S379" s="46"/>
    </row>
    <row r="380" spans="16:19" x14ac:dyDescent="0.2">
      <c r="P380" s="55" t="s">
        <v>199</v>
      </c>
      <c r="Q380" s="46"/>
      <c r="R380" s="46"/>
      <c r="S380" s="46"/>
    </row>
    <row r="381" spans="16:19" x14ac:dyDescent="0.2">
      <c r="P381" s="55" t="s">
        <v>118</v>
      </c>
      <c r="Q381" s="46">
        <v>3</v>
      </c>
      <c r="R381" s="46">
        <v>3</v>
      </c>
      <c r="S381" s="46">
        <v>6</v>
      </c>
    </row>
    <row r="382" spans="16:19" x14ac:dyDescent="0.2">
      <c r="P382" s="55" t="s">
        <v>181</v>
      </c>
      <c r="Q382" s="46"/>
      <c r="R382" s="46"/>
      <c r="S382" s="46"/>
    </row>
    <row r="383" spans="16:19" x14ac:dyDescent="0.2">
      <c r="P383" s="55" t="s">
        <v>71</v>
      </c>
      <c r="Q383" s="46">
        <v>1</v>
      </c>
      <c r="R383" s="46">
        <v>1</v>
      </c>
      <c r="S383" s="46">
        <v>2</v>
      </c>
    </row>
    <row r="384" spans="16:19" x14ac:dyDescent="0.2">
      <c r="P384" s="55" t="s">
        <v>52</v>
      </c>
      <c r="Q384" s="46"/>
      <c r="R384" s="46"/>
      <c r="S384" s="46"/>
    </row>
    <row r="385" spans="16:19" x14ac:dyDescent="0.2">
      <c r="P385" s="55" t="s">
        <v>84</v>
      </c>
      <c r="Q385" s="46"/>
      <c r="R385" s="46"/>
      <c r="S385" s="46"/>
    </row>
    <row r="386" spans="16:19" x14ac:dyDescent="0.2">
      <c r="P386" s="55" t="s">
        <v>139</v>
      </c>
      <c r="Q386" s="46"/>
      <c r="R386" s="46"/>
      <c r="S386" s="46"/>
    </row>
    <row r="387" spans="16:19" x14ac:dyDescent="0.2">
      <c r="P387" s="55" t="s">
        <v>102</v>
      </c>
      <c r="Q387" s="46"/>
      <c r="R387" s="46"/>
      <c r="S387" s="46"/>
    </row>
    <row r="388" spans="16:19" x14ac:dyDescent="0.2">
      <c r="P388" s="54">
        <v>21</v>
      </c>
      <c r="Q388" s="46">
        <v>3</v>
      </c>
      <c r="R388" s="46">
        <v>4</v>
      </c>
      <c r="S388" s="46">
        <v>7</v>
      </c>
    </row>
    <row r="389" spans="16:19" x14ac:dyDescent="0.2">
      <c r="P389" s="55" t="s">
        <v>211</v>
      </c>
      <c r="Q389" s="46"/>
      <c r="R389" s="46"/>
      <c r="S389" s="46"/>
    </row>
    <row r="390" spans="16:19" x14ac:dyDescent="0.2">
      <c r="P390" s="55" t="s">
        <v>199</v>
      </c>
      <c r="Q390" s="46"/>
      <c r="R390" s="46"/>
      <c r="S390" s="46"/>
    </row>
    <row r="391" spans="16:19" x14ac:dyDescent="0.2">
      <c r="P391" s="55" t="s">
        <v>118</v>
      </c>
      <c r="Q391" s="46">
        <v>2</v>
      </c>
      <c r="R391" s="46">
        <v>3</v>
      </c>
      <c r="S391" s="46">
        <v>5</v>
      </c>
    </row>
    <row r="392" spans="16:19" x14ac:dyDescent="0.2">
      <c r="P392" s="55" t="s">
        <v>181</v>
      </c>
      <c r="Q392" s="46"/>
      <c r="R392" s="46"/>
      <c r="S392" s="46"/>
    </row>
    <row r="393" spans="16:19" x14ac:dyDescent="0.2">
      <c r="P393" s="55" t="s">
        <v>71</v>
      </c>
      <c r="Q393" s="46">
        <v>1</v>
      </c>
      <c r="R393" s="46">
        <v>1</v>
      </c>
      <c r="S393" s="46">
        <v>2</v>
      </c>
    </row>
    <row r="394" spans="16:19" x14ac:dyDescent="0.2">
      <c r="P394" s="55" t="s">
        <v>52</v>
      </c>
      <c r="Q394" s="46"/>
      <c r="R394" s="46"/>
      <c r="S394" s="46"/>
    </row>
    <row r="395" spans="16:19" x14ac:dyDescent="0.2">
      <c r="P395" s="55" t="s">
        <v>84</v>
      </c>
      <c r="Q395" s="46"/>
      <c r="R395" s="46"/>
      <c r="S395" s="46"/>
    </row>
    <row r="396" spans="16:19" x14ac:dyDescent="0.2">
      <c r="P396" s="55" t="s">
        <v>139</v>
      </c>
      <c r="Q396" s="46"/>
      <c r="R396" s="46"/>
      <c r="S396" s="46"/>
    </row>
    <row r="397" spans="16:19" x14ac:dyDescent="0.2">
      <c r="P397" s="55" t="s">
        <v>102</v>
      </c>
      <c r="Q397" s="46"/>
      <c r="R397" s="46"/>
      <c r="S397" s="46"/>
    </row>
    <row r="398" spans="16:19" x14ac:dyDescent="0.2">
      <c r="P398" s="47" t="s">
        <v>45</v>
      </c>
      <c r="Q398" s="46">
        <v>15</v>
      </c>
      <c r="R398" s="46">
        <v>10</v>
      </c>
      <c r="S398" s="46">
        <v>25</v>
      </c>
    </row>
    <row r="399" spans="16:19" x14ac:dyDescent="0.2">
      <c r="P399" s="53">
        <v>1</v>
      </c>
      <c r="Q399" s="46">
        <v>7</v>
      </c>
      <c r="R399" s="46">
        <v>7</v>
      </c>
      <c r="S399" s="46">
        <v>14</v>
      </c>
    </row>
    <row r="400" spans="16:19" x14ac:dyDescent="0.2">
      <c r="P400" s="54">
        <v>14</v>
      </c>
      <c r="Q400" s="46">
        <v>4</v>
      </c>
      <c r="R400" s="46">
        <v>2</v>
      </c>
      <c r="S400" s="46">
        <v>6</v>
      </c>
    </row>
    <row r="401" spans="16:19" x14ac:dyDescent="0.2">
      <c r="P401" s="55" t="s">
        <v>211</v>
      </c>
      <c r="Q401" s="46"/>
      <c r="R401" s="46"/>
      <c r="S401" s="46"/>
    </row>
    <row r="402" spans="16:19" x14ac:dyDescent="0.2">
      <c r="P402" s="55" t="s">
        <v>199</v>
      </c>
      <c r="Q402" s="46"/>
      <c r="R402" s="46"/>
      <c r="S402" s="46"/>
    </row>
    <row r="403" spans="16:19" x14ac:dyDescent="0.2">
      <c r="P403" s="55" t="s">
        <v>118</v>
      </c>
      <c r="Q403" s="46">
        <v>4</v>
      </c>
      <c r="R403" s="46">
        <v>2</v>
      </c>
      <c r="S403" s="46">
        <v>6</v>
      </c>
    </row>
    <row r="404" spans="16:19" x14ac:dyDescent="0.2">
      <c r="P404" s="55" t="s">
        <v>181</v>
      </c>
      <c r="Q404" s="46"/>
      <c r="R404" s="46"/>
      <c r="S404" s="46"/>
    </row>
    <row r="405" spans="16:19" x14ac:dyDescent="0.2">
      <c r="P405" s="55" t="s">
        <v>71</v>
      </c>
      <c r="Q405" s="46"/>
      <c r="R405" s="46"/>
      <c r="S405" s="46"/>
    </row>
    <row r="406" spans="16:19" x14ac:dyDescent="0.2">
      <c r="P406" s="55" t="s">
        <v>52</v>
      </c>
      <c r="Q406" s="46"/>
      <c r="R406" s="46"/>
      <c r="S406" s="46"/>
    </row>
    <row r="407" spans="16:19" x14ac:dyDescent="0.2">
      <c r="P407" s="55" t="s">
        <v>84</v>
      </c>
      <c r="Q407" s="46"/>
      <c r="R407" s="46"/>
      <c r="S407" s="46"/>
    </row>
    <row r="408" spans="16:19" x14ac:dyDescent="0.2">
      <c r="P408" s="55" t="s">
        <v>139</v>
      </c>
      <c r="Q408" s="46"/>
      <c r="R408" s="46"/>
      <c r="S408" s="46"/>
    </row>
    <row r="409" spans="16:19" x14ac:dyDescent="0.2">
      <c r="P409" s="55" t="s">
        <v>102</v>
      </c>
      <c r="Q409" s="46"/>
      <c r="R409" s="46"/>
      <c r="S409" s="46"/>
    </row>
    <row r="410" spans="16:19" x14ac:dyDescent="0.2">
      <c r="P410" s="54">
        <v>21</v>
      </c>
      <c r="Q410" s="46">
        <v>3</v>
      </c>
      <c r="R410" s="46">
        <v>5</v>
      </c>
      <c r="S410" s="46">
        <v>8</v>
      </c>
    </row>
    <row r="411" spans="16:19" x14ac:dyDescent="0.2">
      <c r="P411" s="55" t="s">
        <v>211</v>
      </c>
      <c r="Q411" s="46"/>
      <c r="R411" s="46"/>
      <c r="S411" s="46"/>
    </row>
    <row r="412" spans="16:19" x14ac:dyDescent="0.2">
      <c r="P412" s="55" t="s">
        <v>199</v>
      </c>
      <c r="Q412" s="46"/>
      <c r="R412" s="46"/>
      <c r="S412" s="46"/>
    </row>
    <row r="413" spans="16:19" x14ac:dyDescent="0.2">
      <c r="P413" s="55" t="s">
        <v>118</v>
      </c>
      <c r="Q413" s="46">
        <v>2</v>
      </c>
      <c r="R413" s="46">
        <v>4</v>
      </c>
      <c r="S413" s="46">
        <v>6</v>
      </c>
    </row>
    <row r="414" spans="16:19" x14ac:dyDescent="0.2">
      <c r="P414" s="55" t="s">
        <v>181</v>
      </c>
      <c r="Q414" s="46"/>
      <c r="R414" s="46"/>
      <c r="S414" s="46"/>
    </row>
    <row r="415" spans="16:19" x14ac:dyDescent="0.2">
      <c r="P415" s="55" t="s">
        <v>71</v>
      </c>
      <c r="Q415" s="46">
        <v>1</v>
      </c>
      <c r="R415" s="46">
        <v>1</v>
      </c>
      <c r="S415" s="46">
        <v>2</v>
      </c>
    </row>
    <row r="416" spans="16:19" x14ac:dyDescent="0.2">
      <c r="P416" s="55" t="s">
        <v>52</v>
      </c>
      <c r="Q416" s="46"/>
      <c r="R416" s="46"/>
      <c r="S416" s="46"/>
    </row>
    <row r="417" spans="16:19" x14ac:dyDescent="0.2">
      <c r="P417" s="55" t="s">
        <v>84</v>
      </c>
      <c r="Q417" s="46"/>
      <c r="R417" s="46"/>
      <c r="S417" s="46"/>
    </row>
    <row r="418" spans="16:19" x14ac:dyDescent="0.2">
      <c r="P418" s="55" t="s">
        <v>139</v>
      </c>
      <c r="Q418" s="46"/>
      <c r="R418" s="46"/>
      <c r="S418" s="46"/>
    </row>
    <row r="419" spans="16:19" x14ac:dyDescent="0.2">
      <c r="P419" s="55" t="s">
        <v>102</v>
      </c>
      <c r="Q419" s="46"/>
      <c r="R419" s="46"/>
      <c r="S419" s="46"/>
    </row>
    <row r="420" spans="16:19" x14ac:dyDescent="0.2">
      <c r="P420" s="53">
        <v>50</v>
      </c>
      <c r="Q420" s="46">
        <v>8</v>
      </c>
      <c r="R420" s="46">
        <v>3</v>
      </c>
      <c r="S420" s="46">
        <v>11</v>
      </c>
    </row>
    <row r="421" spans="16:19" x14ac:dyDescent="0.2">
      <c r="P421" s="54">
        <v>14</v>
      </c>
      <c r="Q421" s="46">
        <v>3</v>
      </c>
      <c r="R421" s="46">
        <v>2</v>
      </c>
      <c r="S421" s="46">
        <v>5</v>
      </c>
    </row>
    <row r="422" spans="16:19" x14ac:dyDescent="0.2">
      <c r="P422" s="55" t="s">
        <v>211</v>
      </c>
      <c r="Q422" s="46"/>
      <c r="R422" s="46"/>
      <c r="S422" s="46"/>
    </row>
    <row r="423" spans="16:19" x14ac:dyDescent="0.2">
      <c r="P423" s="55" t="s">
        <v>199</v>
      </c>
      <c r="Q423" s="46"/>
      <c r="R423" s="46"/>
      <c r="S423" s="46"/>
    </row>
    <row r="424" spans="16:19" x14ac:dyDescent="0.2">
      <c r="P424" s="55" t="s">
        <v>118</v>
      </c>
      <c r="Q424" s="46">
        <v>3</v>
      </c>
      <c r="R424" s="46">
        <v>2</v>
      </c>
      <c r="S424" s="46">
        <v>5</v>
      </c>
    </row>
    <row r="425" spans="16:19" x14ac:dyDescent="0.2">
      <c r="P425" s="55" t="s">
        <v>181</v>
      </c>
      <c r="Q425" s="46"/>
      <c r="R425" s="46"/>
      <c r="S425" s="46"/>
    </row>
    <row r="426" spans="16:19" x14ac:dyDescent="0.2">
      <c r="P426" s="55" t="s">
        <v>71</v>
      </c>
      <c r="Q426" s="46"/>
      <c r="R426" s="46"/>
      <c r="S426" s="46"/>
    </row>
    <row r="427" spans="16:19" x14ac:dyDescent="0.2">
      <c r="P427" s="55" t="s">
        <v>52</v>
      </c>
      <c r="Q427" s="46"/>
      <c r="R427" s="46"/>
      <c r="S427" s="46"/>
    </row>
    <row r="428" spans="16:19" x14ac:dyDescent="0.2">
      <c r="P428" s="55" t="s">
        <v>84</v>
      </c>
      <c r="Q428" s="46"/>
      <c r="R428" s="46"/>
      <c r="S428" s="46"/>
    </row>
    <row r="429" spans="16:19" x14ac:dyDescent="0.2">
      <c r="P429" s="55" t="s">
        <v>139</v>
      </c>
      <c r="Q429" s="46"/>
      <c r="R429" s="46"/>
      <c r="S429" s="46"/>
    </row>
    <row r="430" spans="16:19" x14ac:dyDescent="0.2">
      <c r="P430" s="55" t="s">
        <v>102</v>
      </c>
      <c r="Q430" s="46"/>
      <c r="R430" s="46"/>
      <c r="S430" s="46"/>
    </row>
    <row r="431" spans="16:19" x14ac:dyDescent="0.2">
      <c r="P431" s="54">
        <v>21</v>
      </c>
      <c r="Q431" s="46">
        <v>5</v>
      </c>
      <c r="R431" s="46">
        <v>1</v>
      </c>
      <c r="S431" s="46">
        <v>6</v>
      </c>
    </row>
    <row r="432" spans="16:19" x14ac:dyDescent="0.2">
      <c r="P432" s="55" t="s">
        <v>211</v>
      </c>
      <c r="Q432" s="46"/>
      <c r="R432" s="46"/>
      <c r="S432" s="46"/>
    </row>
    <row r="433" spans="16:19" x14ac:dyDescent="0.2">
      <c r="P433" s="55" t="s">
        <v>199</v>
      </c>
      <c r="Q433" s="46"/>
      <c r="R433" s="46"/>
      <c r="S433" s="46"/>
    </row>
    <row r="434" spans="16:19" x14ac:dyDescent="0.2">
      <c r="P434" s="55" t="s">
        <v>118</v>
      </c>
      <c r="Q434" s="46">
        <v>4</v>
      </c>
      <c r="R434" s="46">
        <v>1</v>
      </c>
      <c r="S434" s="46">
        <v>5</v>
      </c>
    </row>
    <row r="435" spans="16:19" x14ac:dyDescent="0.2">
      <c r="P435" s="55" t="s">
        <v>181</v>
      </c>
      <c r="Q435" s="46"/>
      <c r="R435" s="46"/>
      <c r="S435" s="46"/>
    </row>
    <row r="436" spans="16:19" x14ac:dyDescent="0.2">
      <c r="P436" s="55" t="s">
        <v>71</v>
      </c>
      <c r="Q436" s="46">
        <v>1</v>
      </c>
      <c r="R436" s="46"/>
      <c r="S436" s="46">
        <v>1</v>
      </c>
    </row>
    <row r="437" spans="16:19" x14ac:dyDescent="0.2">
      <c r="P437" s="55" t="s">
        <v>52</v>
      </c>
      <c r="Q437" s="46"/>
      <c r="R437" s="46"/>
      <c r="S437" s="46"/>
    </row>
    <row r="438" spans="16:19" x14ac:dyDescent="0.2">
      <c r="P438" s="55" t="s">
        <v>84</v>
      </c>
      <c r="Q438" s="46"/>
      <c r="R438" s="46"/>
      <c r="S438" s="46"/>
    </row>
    <row r="439" spans="16:19" x14ac:dyDescent="0.2">
      <c r="P439" s="55" t="s">
        <v>139</v>
      </c>
      <c r="Q439" s="46"/>
      <c r="R439" s="46"/>
      <c r="S439" s="46"/>
    </row>
    <row r="440" spans="16:19" x14ac:dyDescent="0.2">
      <c r="P440" s="55" t="s">
        <v>102</v>
      </c>
      <c r="Q440" s="46"/>
      <c r="R440" s="46"/>
      <c r="S440" s="46"/>
    </row>
    <row r="441" spans="16:19" x14ac:dyDescent="0.2">
      <c r="P441" s="45" t="s">
        <v>70</v>
      </c>
      <c r="Q441" s="46">
        <v>20</v>
      </c>
      <c r="R441" s="46">
        <v>24</v>
      </c>
      <c r="S441" s="46">
        <v>44</v>
      </c>
    </row>
    <row r="442" spans="16:19" x14ac:dyDescent="0.2">
      <c r="P442" s="47" t="s">
        <v>74</v>
      </c>
      <c r="Q442" s="46">
        <v>9</v>
      </c>
      <c r="R442" s="46">
        <v>12</v>
      </c>
      <c r="S442" s="46">
        <v>21</v>
      </c>
    </row>
    <row r="443" spans="16:19" x14ac:dyDescent="0.2">
      <c r="P443" s="53">
        <v>1</v>
      </c>
      <c r="Q443" s="46">
        <v>5</v>
      </c>
      <c r="R443" s="46">
        <v>6</v>
      </c>
      <c r="S443" s="46">
        <v>11</v>
      </c>
    </row>
    <row r="444" spans="16:19" x14ac:dyDescent="0.2">
      <c r="P444" s="54">
        <v>14</v>
      </c>
      <c r="Q444" s="46">
        <v>2</v>
      </c>
      <c r="R444" s="46">
        <v>3</v>
      </c>
      <c r="S444" s="46">
        <v>5</v>
      </c>
    </row>
    <row r="445" spans="16:19" x14ac:dyDescent="0.2">
      <c r="P445" s="55" t="s">
        <v>211</v>
      </c>
      <c r="Q445" s="46"/>
      <c r="R445" s="46"/>
      <c r="S445" s="46"/>
    </row>
    <row r="446" spans="16:19" x14ac:dyDescent="0.2">
      <c r="P446" s="55" t="s">
        <v>199</v>
      </c>
      <c r="Q446" s="46"/>
      <c r="R446" s="46"/>
      <c r="S446" s="46"/>
    </row>
    <row r="447" spans="16:19" x14ac:dyDescent="0.2">
      <c r="P447" s="55" t="s">
        <v>118</v>
      </c>
      <c r="Q447" s="46">
        <v>2</v>
      </c>
      <c r="R447" s="46">
        <v>2</v>
      </c>
      <c r="S447" s="46">
        <v>4</v>
      </c>
    </row>
    <row r="448" spans="16:19" x14ac:dyDescent="0.2">
      <c r="P448" s="55" t="s">
        <v>181</v>
      </c>
      <c r="Q448" s="46"/>
      <c r="R448" s="46"/>
      <c r="S448" s="46"/>
    </row>
    <row r="449" spans="16:19" x14ac:dyDescent="0.2">
      <c r="P449" s="55" t="s">
        <v>71</v>
      </c>
      <c r="Q449" s="46"/>
      <c r="R449" s="46">
        <v>1</v>
      </c>
      <c r="S449" s="46">
        <v>1</v>
      </c>
    </row>
    <row r="450" spans="16:19" x14ac:dyDescent="0.2">
      <c r="P450" s="55" t="s">
        <v>52</v>
      </c>
      <c r="Q450" s="46"/>
      <c r="R450" s="46"/>
      <c r="S450" s="46"/>
    </row>
    <row r="451" spans="16:19" x14ac:dyDescent="0.2">
      <c r="P451" s="55" t="s">
        <v>84</v>
      </c>
      <c r="Q451" s="46"/>
      <c r="R451" s="46"/>
      <c r="S451" s="46"/>
    </row>
    <row r="452" spans="16:19" x14ac:dyDescent="0.2">
      <c r="P452" s="55" t="s">
        <v>139</v>
      </c>
      <c r="Q452" s="46"/>
      <c r="R452" s="46"/>
      <c r="S452" s="46"/>
    </row>
    <row r="453" spans="16:19" x14ac:dyDescent="0.2">
      <c r="P453" s="55" t="s">
        <v>102</v>
      </c>
      <c r="Q453" s="46"/>
      <c r="R453" s="46"/>
      <c r="S453" s="46"/>
    </row>
    <row r="454" spans="16:19" x14ac:dyDescent="0.2">
      <c r="P454" s="54">
        <v>21</v>
      </c>
      <c r="Q454" s="46">
        <v>3</v>
      </c>
      <c r="R454" s="46">
        <v>3</v>
      </c>
      <c r="S454" s="46">
        <v>6</v>
      </c>
    </row>
    <row r="455" spans="16:19" x14ac:dyDescent="0.2">
      <c r="P455" s="55" t="s">
        <v>211</v>
      </c>
      <c r="Q455" s="46"/>
      <c r="R455" s="46"/>
      <c r="S455" s="46"/>
    </row>
    <row r="456" spans="16:19" x14ac:dyDescent="0.2">
      <c r="P456" s="55" t="s">
        <v>199</v>
      </c>
      <c r="Q456" s="46"/>
      <c r="R456" s="46"/>
      <c r="S456" s="46"/>
    </row>
    <row r="457" spans="16:19" x14ac:dyDescent="0.2">
      <c r="P457" s="55" t="s">
        <v>118</v>
      </c>
      <c r="Q457" s="46">
        <v>2</v>
      </c>
      <c r="R457" s="46">
        <v>3</v>
      </c>
      <c r="S457" s="46">
        <v>5</v>
      </c>
    </row>
    <row r="458" spans="16:19" x14ac:dyDescent="0.2">
      <c r="P458" s="55" t="s">
        <v>181</v>
      </c>
      <c r="Q458" s="46"/>
      <c r="R458" s="46"/>
      <c r="S458" s="46"/>
    </row>
    <row r="459" spans="16:19" x14ac:dyDescent="0.2">
      <c r="P459" s="55" t="s">
        <v>71</v>
      </c>
      <c r="Q459" s="46">
        <v>1</v>
      </c>
      <c r="R459" s="46"/>
      <c r="S459" s="46">
        <v>1</v>
      </c>
    </row>
    <row r="460" spans="16:19" x14ac:dyDescent="0.2">
      <c r="P460" s="55" t="s">
        <v>52</v>
      </c>
      <c r="Q460" s="46"/>
      <c r="R460" s="46"/>
      <c r="S460" s="46"/>
    </row>
    <row r="461" spans="16:19" x14ac:dyDescent="0.2">
      <c r="P461" s="55" t="s">
        <v>84</v>
      </c>
      <c r="Q461" s="46"/>
      <c r="R461" s="46"/>
      <c r="S461" s="46"/>
    </row>
    <row r="462" spans="16:19" x14ac:dyDescent="0.2">
      <c r="P462" s="55" t="s">
        <v>139</v>
      </c>
      <c r="Q462" s="46"/>
      <c r="R462" s="46"/>
      <c r="S462" s="46"/>
    </row>
    <row r="463" spans="16:19" x14ac:dyDescent="0.2">
      <c r="P463" s="55" t="s">
        <v>102</v>
      </c>
      <c r="Q463" s="46"/>
      <c r="R463" s="46"/>
      <c r="S463" s="46"/>
    </row>
    <row r="464" spans="16:19" x14ac:dyDescent="0.2">
      <c r="P464" s="53">
        <v>50</v>
      </c>
      <c r="Q464" s="46">
        <v>4</v>
      </c>
      <c r="R464" s="46">
        <v>6</v>
      </c>
      <c r="S464" s="46">
        <v>10</v>
      </c>
    </row>
    <row r="465" spans="16:19" x14ac:dyDescent="0.2">
      <c r="P465" s="54">
        <v>14</v>
      </c>
      <c r="Q465" s="46">
        <v>1</v>
      </c>
      <c r="R465" s="46">
        <v>3</v>
      </c>
      <c r="S465" s="46">
        <v>4</v>
      </c>
    </row>
    <row r="466" spans="16:19" x14ac:dyDescent="0.2">
      <c r="P466" s="55" t="s">
        <v>211</v>
      </c>
      <c r="Q466" s="46"/>
      <c r="R466" s="46"/>
      <c r="S466" s="46"/>
    </row>
    <row r="467" spans="16:19" x14ac:dyDescent="0.2">
      <c r="P467" s="55" t="s">
        <v>199</v>
      </c>
      <c r="Q467" s="46"/>
      <c r="R467" s="46"/>
      <c r="S467" s="46"/>
    </row>
    <row r="468" spans="16:19" x14ac:dyDescent="0.2">
      <c r="P468" s="55" t="s">
        <v>118</v>
      </c>
      <c r="Q468" s="46">
        <v>1</v>
      </c>
      <c r="R468" s="46">
        <v>2</v>
      </c>
      <c r="S468" s="46">
        <v>3</v>
      </c>
    </row>
    <row r="469" spans="16:19" x14ac:dyDescent="0.2">
      <c r="P469" s="55" t="s">
        <v>181</v>
      </c>
      <c r="Q469" s="46"/>
      <c r="R469" s="46"/>
      <c r="S469" s="46"/>
    </row>
    <row r="470" spans="16:19" x14ac:dyDescent="0.2">
      <c r="P470" s="55" t="s">
        <v>71</v>
      </c>
      <c r="Q470" s="46"/>
      <c r="R470" s="46">
        <v>1</v>
      </c>
      <c r="S470" s="46">
        <v>1</v>
      </c>
    </row>
    <row r="471" spans="16:19" x14ac:dyDescent="0.2">
      <c r="P471" s="55" t="s">
        <v>52</v>
      </c>
      <c r="Q471" s="46"/>
      <c r="R471" s="46"/>
      <c r="S471" s="46"/>
    </row>
    <row r="472" spans="16:19" x14ac:dyDescent="0.2">
      <c r="P472" s="55" t="s">
        <v>84</v>
      </c>
      <c r="Q472" s="46"/>
      <c r="R472" s="46"/>
      <c r="S472" s="46"/>
    </row>
    <row r="473" spans="16:19" x14ac:dyDescent="0.2">
      <c r="P473" s="55" t="s">
        <v>139</v>
      </c>
      <c r="Q473" s="46"/>
      <c r="R473" s="46"/>
      <c r="S473" s="46"/>
    </row>
    <row r="474" spans="16:19" x14ac:dyDescent="0.2">
      <c r="P474" s="55" t="s">
        <v>102</v>
      </c>
      <c r="Q474" s="46"/>
      <c r="R474" s="46"/>
      <c r="S474" s="46"/>
    </row>
    <row r="475" spans="16:19" x14ac:dyDescent="0.2">
      <c r="P475" s="54">
        <v>21</v>
      </c>
      <c r="Q475" s="46">
        <v>3</v>
      </c>
      <c r="R475" s="46">
        <v>3</v>
      </c>
      <c r="S475" s="46">
        <v>6</v>
      </c>
    </row>
    <row r="476" spans="16:19" x14ac:dyDescent="0.2">
      <c r="P476" s="55" t="s">
        <v>211</v>
      </c>
      <c r="Q476" s="46"/>
      <c r="R476" s="46"/>
      <c r="S476" s="46"/>
    </row>
    <row r="477" spans="16:19" x14ac:dyDescent="0.2">
      <c r="P477" s="55" t="s">
        <v>199</v>
      </c>
      <c r="Q477" s="46"/>
      <c r="R477" s="46"/>
      <c r="S477" s="46"/>
    </row>
    <row r="478" spans="16:19" x14ac:dyDescent="0.2">
      <c r="P478" s="55" t="s">
        <v>118</v>
      </c>
      <c r="Q478" s="46">
        <v>2</v>
      </c>
      <c r="R478" s="46">
        <v>3</v>
      </c>
      <c r="S478" s="46">
        <v>5</v>
      </c>
    </row>
    <row r="479" spans="16:19" x14ac:dyDescent="0.2">
      <c r="P479" s="55" t="s">
        <v>181</v>
      </c>
      <c r="Q479" s="46"/>
      <c r="R479" s="46"/>
      <c r="S479" s="46"/>
    </row>
    <row r="480" spans="16:19" x14ac:dyDescent="0.2">
      <c r="P480" s="55" t="s">
        <v>71</v>
      </c>
      <c r="Q480" s="46">
        <v>1</v>
      </c>
      <c r="R480" s="46"/>
      <c r="S480" s="46">
        <v>1</v>
      </c>
    </row>
    <row r="481" spans="16:19" x14ac:dyDescent="0.2">
      <c r="P481" s="55" t="s">
        <v>52</v>
      </c>
      <c r="Q481" s="46"/>
      <c r="R481" s="46"/>
      <c r="S481" s="46"/>
    </row>
    <row r="482" spans="16:19" x14ac:dyDescent="0.2">
      <c r="P482" s="55" t="s">
        <v>84</v>
      </c>
      <c r="Q482" s="46"/>
      <c r="R482" s="46"/>
      <c r="S482" s="46"/>
    </row>
    <row r="483" spans="16:19" x14ac:dyDescent="0.2">
      <c r="P483" s="55" t="s">
        <v>139</v>
      </c>
      <c r="Q483" s="46"/>
      <c r="R483" s="46"/>
      <c r="S483" s="46"/>
    </row>
    <row r="484" spans="16:19" x14ac:dyDescent="0.2">
      <c r="P484" s="55" t="s">
        <v>102</v>
      </c>
      <c r="Q484" s="46"/>
      <c r="R484" s="46"/>
      <c r="S484" s="46"/>
    </row>
    <row r="485" spans="16:19" x14ac:dyDescent="0.2">
      <c r="P485" s="47" t="s">
        <v>45</v>
      </c>
      <c r="Q485" s="46">
        <v>11</v>
      </c>
      <c r="R485" s="46">
        <v>12</v>
      </c>
      <c r="S485" s="46">
        <v>23</v>
      </c>
    </row>
    <row r="486" spans="16:19" x14ac:dyDescent="0.2">
      <c r="P486" s="53">
        <v>1</v>
      </c>
      <c r="Q486" s="46">
        <v>5</v>
      </c>
      <c r="R486" s="46">
        <v>4</v>
      </c>
      <c r="S486" s="46">
        <v>9</v>
      </c>
    </row>
    <row r="487" spans="16:19" x14ac:dyDescent="0.2">
      <c r="P487" s="54">
        <v>14</v>
      </c>
      <c r="Q487" s="46">
        <v>2</v>
      </c>
      <c r="R487" s="46">
        <v>1</v>
      </c>
      <c r="S487" s="46">
        <v>3</v>
      </c>
    </row>
    <row r="488" spans="16:19" x14ac:dyDescent="0.2">
      <c r="P488" s="55" t="s">
        <v>211</v>
      </c>
      <c r="Q488" s="46"/>
      <c r="R488" s="46"/>
      <c r="S488" s="46"/>
    </row>
    <row r="489" spans="16:19" x14ac:dyDescent="0.2">
      <c r="P489" s="55" t="s">
        <v>199</v>
      </c>
      <c r="Q489" s="46"/>
      <c r="R489" s="46"/>
      <c r="S489" s="46"/>
    </row>
    <row r="490" spans="16:19" x14ac:dyDescent="0.2">
      <c r="P490" s="55" t="s">
        <v>118</v>
      </c>
      <c r="Q490" s="46">
        <v>2</v>
      </c>
      <c r="R490" s="46">
        <v>1</v>
      </c>
      <c r="S490" s="46">
        <v>3</v>
      </c>
    </row>
    <row r="491" spans="16:19" x14ac:dyDescent="0.2">
      <c r="P491" s="55" t="s">
        <v>181</v>
      </c>
      <c r="Q491" s="46"/>
      <c r="R491" s="46"/>
      <c r="S491" s="46"/>
    </row>
    <row r="492" spans="16:19" x14ac:dyDescent="0.2">
      <c r="P492" s="55" t="s">
        <v>71</v>
      </c>
      <c r="Q492" s="46"/>
      <c r="R492" s="46"/>
      <c r="S492" s="46"/>
    </row>
    <row r="493" spans="16:19" x14ac:dyDescent="0.2">
      <c r="P493" s="55" t="s">
        <v>52</v>
      </c>
      <c r="Q493" s="46"/>
      <c r="R493" s="46"/>
      <c r="S493" s="46"/>
    </row>
    <row r="494" spans="16:19" x14ac:dyDescent="0.2">
      <c r="P494" s="55" t="s">
        <v>84</v>
      </c>
      <c r="Q494" s="46"/>
      <c r="R494" s="46"/>
      <c r="S494" s="46"/>
    </row>
    <row r="495" spans="16:19" x14ac:dyDescent="0.2">
      <c r="P495" s="55" t="s">
        <v>139</v>
      </c>
      <c r="Q495" s="46"/>
      <c r="R495" s="46"/>
      <c r="S495" s="46"/>
    </row>
    <row r="496" spans="16:19" x14ac:dyDescent="0.2">
      <c r="P496" s="55" t="s">
        <v>102</v>
      </c>
      <c r="Q496" s="46"/>
      <c r="R496" s="46"/>
      <c r="S496" s="46"/>
    </row>
    <row r="497" spans="16:19" x14ac:dyDescent="0.2">
      <c r="P497" s="54">
        <v>21</v>
      </c>
      <c r="Q497" s="46">
        <v>3</v>
      </c>
      <c r="R497" s="46">
        <v>3</v>
      </c>
      <c r="S497" s="46">
        <v>6</v>
      </c>
    </row>
    <row r="498" spans="16:19" x14ac:dyDescent="0.2">
      <c r="P498" s="55" t="s">
        <v>211</v>
      </c>
      <c r="Q498" s="46"/>
      <c r="R498" s="46"/>
      <c r="S498" s="46"/>
    </row>
    <row r="499" spans="16:19" x14ac:dyDescent="0.2">
      <c r="P499" s="55" t="s">
        <v>199</v>
      </c>
      <c r="Q499" s="46"/>
      <c r="R499" s="46"/>
      <c r="S499" s="46"/>
    </row>
    <row r="500" spans="16:19" x14ac:dyDescent="0.2">
      <c r="P500" s="55" t="s">
        <v>118</v>
      </c>
      <c r="Q500" s="46">
        <v>2</v>
      </c>
      <c r="R500" s="46">
        <v>2</v>
      </c>
      <c r="S500" s="46">
        <v>4</v>
      </c>
    </row>
    <row r="501" spans="16:19" x14ac:dyDescent="0.2">
      <c r="P501" s="55" t="s">
        <v>181</v>
      </c>
      <c r="Q501" s="46"/>
      <c r="R501" s="46"/>
      <c r="S501" s="46"/>
    </row>
    <row r="502" spans="16:19" x14ac:dyDescent="0.2">
      <c r="P502" s="55" t="s">
        <v>71</v>
      </c>
      <c r="Q502" s="46">
        <v>1</v>
      </c>
      <c r="R502" s="46">
        <v>1</v>
      </c>
      <c r="S502" s="46">
        <v>2</v>
      </c>
    </row>
    <row r="503" spans="16:19" x14ac:dyDescent="0.2">
      <c r="P503" s="55" t="s">
        <v>52</v>
      </c>
      <c r="Q503" s="46"/>
      <c r="R503" s="46"/>
      <c r="S503" s="46"/>
    </row>
    <row r="504" spans="16:19" x14ac:dyDescent="0.2">
      <c r="P504" s="55" t="s">
        <v>84</v>
      </c>
      <c r="Q504" s="46"/>
      <c r="R504" s="46"/>
      <c r="S504" s="46"/>
    </row>
    <row r="505" spans="16:19" x14ac:dyDescent="0.2">
      <c r="P505" s="55" t="s">
        <v>139</v>
      </c>
      <c r="Q505" s="46"/>
      <c r="R505" s="46"/>
      <c r="S505" s="46"/>
    </row>
    <row r="506" spans="16:19" x14ac:dyDescent="0.2">
      <c r="P506" s="55" t="s">
        <v>102</v>
      </c>
      <c r="Q506" s="46"/>
      <c r="R506" s="46"/>
      <c r="S506" s="46"/>
    </row>
    <row r="507" spans="16:19" x14ac:dyDescent="0.2">
      <c r="P507" s="53">
        <v>50</v>
      </c>
      <c r="Q507" s="46">
        <v>6</v>
      </c>
      <c r="R507" s="46">
        <v>8</v>
      </c>
      <c r="S507" s="46">
        <v>14</v>
      </c>
    </row>
    <row r="508" spans="16:19" x14ac:dyDescent="0.2">
      <c r="P508" s="54">
        <v>14</v>
      </c>
      <c r="Q508" s="46">
        <v>2</v>
      </c>
      <c r="R508" s="46">
        <v>4</v>
      </c>
      <c r="S508" s="46">
        <v>6</v>
      </c>
    </row>
    <row r="509" spans="16:19" x14ac:dyDescent="0.2">
      <c r="P509" s="55" t="s">
        <v>211</v>
      </c>
      <c r="Q509" s="46"/>
      <c r="R509" s="46"/>
      <c r="S509" s="46"/>
    </row>
    <row r="510" spans="16:19" x14ac:dyDescent="0.2">
      <c r="P510" s="55" t="s">
        <v>199</v>
      </c>
      <c r="Q510" s="46"/>
      <c r="R510" s="46"/>
      <c r="S510" s="46"/>
    </row>
    <row r="511" spans="16:19" x14ac:dyDescent="0.2">
      <c r="P511" s="55" t="s">
        <v>118</v>
      </c>
      <c r="Q511" s="46">
        <v>2</v>
      </c>
      <c r="R511" s="46">
        <v>3</v>
      </c>
      <c r="S511" s="46">
        <v>5</v>
      </c>
    </row>
    <row r="512" spans="16:19" x14ac:dyDescent="0.2">
      <c r="P512" s="55" t="s">
        <v>181</v>
      </c>
      <c r="Q512" s="46"/>
      <c r="R512" s="46"/>
      <c r="S512" s="46"/>
    </row>
    <row r="513" spans="16:19" x14ac:dyDescent="0.2">
      <c r="P513" s="55" t="s">
        <v>71</v>
      </c>
      <c r="Q513" s="46"/>
      <c r="R513" s="46">
        <v>1</v>
      </c>
      <c r="S513" s="46">
        <v>1</v>
      </c>
    </row>
    <row r="514" spans="16:19" x14ac:dyDescent="0.2">
      <c r="P514" s="55" t="s">
        <v>52</v>
      </c>
      <c r="Q514" s="46"/>
      <c r="R514" s="46"/>
      <c r="S514" s="46"/>
    </row>
    <row r="515" spans="16:19" x14ac:dyDescent="0.2">
      <c r="P515" s="55" t="s">
        <v>84</v>
      </c>
      <c r="Q515" s="46"/>
      <c r="R515" s="46"/>
      <c r="S515" s="46"/>
    </row>
    <row r="516" spans="16:19" x14ac:dyDescent="0.2">
      <c r="P516" s="55" t="s">
        <v>139</v>
      </c>
      <c r="Q516" s="46"/>
      <c r="R516" s="46"/>
      <c r="S516" s="46"/>
    </row>
    <row r="517" spans="16:19" x14ac:dyDescent="0.2">
      <c r="P517" s="55" t="s">
        <v>102</v>
      </c>
      <c r="Q517" s="46"/>
      <c r="R517" s="46"/>
      <c r="S517" s="46"/>
    </row>
    <row r="518" spans="16:19" x14ac:dyDescent="0.2">
      <c r="P518" s="54">
        <v>21</v>
      </c>
      <c r="Q518" s="46">
        <v>4</v>
      </c>
      <c r="R518" s="46">
        <v>4</v>
      </c>
      <c r="S518" s="46">
        <v>8</v>
      </c>
    </row>
    <row r="519" spans="16:19" x14ac:dyDescent="0.2">
      <c r="P519" s="55" t="s">
        <v>211</v>
      </c>
      <c r="Q519" s="46"/>
      <c r="R519" s="46"/>
      <c r="S519" s="46"/>
    </row>
    <row r="520" spans="16:19" x14ac:dyDescent="0.2">
      <c r="P520" s="55" t="s">
        <v>199</v>
      </c>
      <c r="Q520" s="46"/>
      <c r="R520" s="46"/>
      <c r="S520" s="46"/>
    </row>
    <row r="521" spans="16:19" x14ac:dyDescent="0.2">
      <c r="P521" s="55" t="s">
        <v>118</v>
      </c>
      <c r="Q521" s="46">
        <v>3</v>
      </c>
      <c r="R521" s="46">
        <v>4</v>
      </c>
      <c r="S521" s="46">
        <v>7</v>
      </c>
    </row>
    <row r="522" spans="16:19" x14ac:dyDescent="0.2">
      <c r="P522" s="55" t="s">
        <v>181</v>
      </c>
      <c r="Q522" s="46"/>
      <c r="R522" s="46"/>
      <c r="S522" s="46"/>
    </row>
    <row r="523" spans="16:19" x14ac:dyDescent="0.2">
      <c r="P523" s="55" t="s">
        <v>71</v>
      </c>
      <c r="Q523" s="46">
        <v>1</v>
      </c>
      <c r="R523" s="46"/>
      <c r="S523" s="46">
        <v>1</v>
      </c>
    </row>
    <row r="524" spans="16:19" x14ac:dyDescent="0.2">
      <c r="P524" s="55" t="s">
        <v>52</v>
      </c>
      <c r="Q524" s="46"/>
      <c r="R524" s="46"/>
      <c r="S524" s="46"/>
    </row>
    <row r="525" spans="16:19" x14ac:dyDescent="0.2">
      <c r="P525" s="55" t="s">
        <v>84</v>
      </c>
      <c r="Q525" s="46"/>
      <c r="R525" s="46"/>
      <c r="S525" s="46"/>
    </row>
    <row r="526" spans="16:19" x14ac:dyDescent="0.2">
      <c r="P526" s="55" t="s">
        <v>139</v>
      </c>
      <c r="Q526" s="46"/>
      <c r="R526" s="46"/>
      <c r="S526" s="46"/>
    </row>
    <row r="527" spans="16:19" x14ac:dyDescent="0.2">
      <c r="P527" s="55" t="s">
        <v>102</v>
      </c>
      <c r="Q527" s="46"/>
      <c r="R527" s="46"/>
      <c r="S527" s="46"/>
    </row>
    <row r="528" spans="16:19" x14ac:dyDescent="0.2">
      <c r="P528" s="45" t="s">
        <v>365</v>
      </c>
      <c r="Q528" s="46">
        <v>126</v>
      </c>
      <c r="R528" s="46">
        <v>139</v>
      </c>
      <c r="S528" s="46">
        <v>265</v>
      </c>
    </row>
  </sheetData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0"/>
  <sheetViews>
    <sheetView workbookViewId="0">
      <selection activeCell="F31" sqref="F31"/>
    </sheetView>
  </sheetViews>
  <sheetFormatPr baseColWidth="10" defaultRowHeight="16" x14ac:dyDescent="0.2"/>
  <cols>
    <col min="1" max="1" width="16.6640625" bestFit="1" customWidth="1"/>
    <col min="2" max="2" width="16.83203125" customWidth="1"/>
    <col min="7" max="8" width="13.5" bestFit="1" customWidth="1"/>
  </cols>
  <sheetData>
    <row r="1" spans="1:11" x14ac:dyDescent="0.2">
      <c r="A1" s="48" t="s">
        <v>2</v>
      </c>
      <c r="B1" t="s">
        <v>48</v>
      </c>
    </row>
    <row r="2" spans="1:11" x14ac:dyDescent="0.2">
      <c r="A2" s="48" t="s">
        <v>0</v>
      </c>
      <c r="B2" t="s">
        <v>399</v>
      </c>
    </row>
    <row r="4" spans="1:11" x14ac:dyDescent="0.2">
      <c r="A4" s="48" t="s">
        <v>362</v>
      </c>
      <c r="B4" t="s">
        <v>360</v>
      </c>
    </row>
    <row r="5" spans="1:11" x14ac:dyDescent="0.2">
      <c r="A5" s="45" t="s">
        <v>78</v>
      </c>
      <c r="B5" s="46">
        <v>194</v>
      </c>
      <c r="G5" s="172"/>
      <c r="H5" s="133" t="s">
        <v>442</v>
      </c>
      <c r="I5" s="133" t="s">
        <v>444</v>
      </c>
      <c r="J5" s="133" t="s">
        <v>443</v>
      </c>
      <c r="K5" s="193" t="s">
        <v>445</v>
      </c>
    </row>
    <row r="6" spans="1:11" x14ac:dyDescent="0.2">
      <c r="A6" s="47">
        <v>0</v>
      </c>
      <c r="B6" s="46">
        <v>5</v>
      </c>
      <c r="G6" s="51"/>
      <c r="H6" s="51">
        <v>76</v>
      </c>
      <c r="I6" s="51">
        <v>29</v>
      </c>
      <c r="J6" s="51">
        <v>47</v>
      </c>
      <c r="K6" s="139">
        <v>396</v>
      </c>
    </row>
    <row r="7" spans="1:11" x14ac:dyDescent="0.2">
      <c r="A7" s="47" t="s">
        <v>50</v>
      </c>
      <c r="B7" s="46">
        <v>75</v>
      </c>
      <c r="G7" s="194" t="s">
        <v>391</v>
      </c>
      <c r="H7" s="195">
        <v>56</v>
      </c>
      <c r="I7" s="195">
        <v>20</v>
      </c>
      <c r="J7" s="195">
        <f>21+15</f>
        <v>36</v>
      </c>
      <c r="K7" s="196">
        <f>75+84</f>
        <v>159</v>
      </c>
    </row>
    <row r="8" spans="1:11" x14ac:dyDescent="0.2">
      <c r="A8" s="47" t="s">
        <v>78</v>
      </c>
      <c r="B8" s="46">
        <v>38</v>
      </c>
      <c r="G8" s="51"/>
      <c r="H8" s="179">
        <f>56/76</f>
        <v>0.73684210526315785</v>
      </c>
      <c r="I8" s="179">
        <f>20/29</f>
        <v>0.68965517241379315</v>
      </c>
      <c r="J8" s="179">
        <f>36/47</f>
        <v>0.76595744680851063</v>
      </c>
      <c r="K8" s="189">
        <f>159/396</f>
        <v>0.40151515151515149</v>
      </c>
    </row>
    <row r="9" spans="1:11" x14ac:dyDescent="0.2">
      <c r="A9" s="47" t="s">
        <v>49</v>
      </c>
      <c r="B9" s="46">
        <v>76</v>
      </c>
      <c r="G9" s="41" t="s">
        <v>447</v>
      </c>
      <c r="H9">
        <f>3+7</f>
        <v>10</v>
      </c>
      <c r="I9">
        <f>3</f>
        <v>3</v>
      </c>
      <c r="J9">
        <f>3+4</f>
        <v>7</v>
      </c>
      <c r="K9" s="138">
        <f>76+72</f>
        <v>148</v>
      </c>
    </row>
    <row r="10" spans="1:11" x14ac:dyDescent="0.2">
      <c r="A10" s="45" t="s">
        <v>49</v>
      </c>
      <c r="B10" s="46">
        <v>202</v>
      </c>
      <c r="H10" s="52">
        <f>10/76</f>
        <v>0.13157894736842105</v>
      </c>
      <c r="I10" s="52">
        <f>3/29</f>
        <v>0.10344827586206896</v>
      </c>
      <c r="J10" s="52">
        <f>7/47</f>
        <v>0.14893617021276595</v>
      </c>
      <c r="K10" s="188">
        <f>148/396</f>
        <v>0.37373737373737376</v>
      </c>
    </row>
    <row r="11" spans="1:11" x14ac:dyDescent="0.2">
      <c r="A11" s="47">
        <v>0</v>
      </c>
      <c r="B11" s="46">
        <v>4</v>
      </c>
      <c r="G11" s="194" t="s">
        <v>448</v>
      </c>
      <c r="H11" s="197">
        <f>5+4</f>
        <v>9</v>
      </c>
      <c r="I11" s="197">
        <f>3+2</f>
        <v>5</v>
      </c>
      <c r="J11" s="197">
        <f>2+2</f>
        <v>4</v>
      </c>
      <c r="K11" s="196">
        <f>38+42</f>
        <v>80</v>
      </c>
    </row>
    <row r="12" spans="1:11" x14ac:dyDescent="0.2">
      <c r="A12" s="47" t="s">
        <v>50</v>
      </c>
      <c r="B12" s="46">
        <v>84</v>
      </c>
      <c r="G12" s="51"/>
      <c r="H12" s="179">
        <f>9/76</f>
        <v>0.11842105263157894</v>
      </c>
      <c r="I12" s="179">
        <f>5/29</f>
        <v>0.17241379310344829</v>
      </c>
      <c r="J12" s="179">
        <f>4/47</f>
        <v>8.5106382978723402E-2</v>
      </c>
      <c r="K12" s="189">
        <f>80/396</f>
        <v>0.20202020202020202</v>
      </c>
    </row>
    <row r="13" spans="1:11" x14ac:dyDescent="0.2">
      <c r="A13" s="47" t="s">
        <v>78</v>
      </c>
      <c r="B13" s="46">
        <v>72</v>
      </c>
    </row>
    <row r="14" spans="1:11" x14ac:dyDescent="0.2">
      <c r="A14" s="47" t="s">
        <v>49</v>
      </c>
      <c r="B14" s="46">
        <v>42</v>
      </c>
    </row>
    <row r="15" spans="1:11" x14ac:dyDescent="0.2">
      <c r="A15" s="45" t="s">
        <v>365</v>
      </c>
      <c r="B15" s="46">
        <v>396</v>
      </c>
    </row>
    <row r="17" spans="7:11" x14ac:dyDescent="0.2">
      <c r="G17" s="172"/>
      <c r="H17" s="172"/>
      <c r="I17" s="133" t="s">
        <v>445</v>
      </c>
      <c r="J17" s="133" t="s">
        <v>442</v>
      </c>
      <c r="K17" s="172"/>
    </row>
    <row r="18" spans="7:11" x14ac:dyDescent="0.2">
      <c r="G18" s="172"/>
      <c r="H18" s="172"/>
      <c r="I18" s="172">
        <v>396</v>
      </c>
      <c r="J18" s="172">
        <v>76</v>
      </c>
      <c r="K18" s="172">
        <f>I18+J18</f>
        <v>472</v>
      </c>
    </row>
    <row r="19" spans="7:11" x14ac:dyDescent="0.2">
      <c r="G19" s="51"/>
      <c r="H19" s="51"/>
      <c r="I19" s="179">
        <f>I18/K18</f>
        <v>0.83898305084745761</v>
      </c>
      <c r="J19" s="179">
        <f>J18/K18</f>
        <v>0.16101694915254236</v>
      </c>
      <c r="K19" s="51"/>
    </row>
    <row r="20" spans="7:11" x14ac:dyDescent="0.2">
      <c r="G20" s="41" t="s">
        <v>446</v>
      </c>
      <c r="H20" s="194" t="s">
        <v>391</v>
      </c>
      <c r="I20" s="197">
        <f>75+84</f>
        <v>159</v>
      </c>
      <c r="J20" s="195">
        <f>31+25</f>
        <v>56</v>
      </c>
    </row>
    <row r="21" spans="7:11" x14ac:dyDescent="0.2">
      <c r="H21" s="51"/>
      <c r="I21" s="179">
        <f>I20/I18</f>
        <v>0.40151515151515149</v>
      </c>
      <c r="J21" s="179">
        <f>J20/J18</f>
        <v>0.73684210526315785</v>
      </c>
    </row>
    <row r="22" spans="7:11" x14ac:dyDescent="0.2">
      <c r="H22" s="194" t="s">
        <v>447</v>
      </c>
      <c r="I22" s="197">
        <f>76+72</f>
        <v>148</v>
      </c>
      <c r="J22" s="197">
        <f>3+7</f>
        <v>10</v>
      </c>
    </row>
    <row r="23" spans="7:11" x14ac:dyDescent="0.2">
      <c r="H23" s="51"/>
      <c r="I23" s="179">
        <f>I22/I18</f>
        <v>0.37373737373737376</v>
      </c>
      <c r="J23" s="179">
        <f>J22/J18</f>
        <v>0.13157894736842105</v>
      </c>
    </row>
    <row r="24" spans="7:11" x14ac:dyDescent="0.2">
      <c r="H24" s="194" t="s">
        <v>448</v>
      </c>
      <c r="I24" s="197">
        <f>38+42</f>
        <v>80</v>
      </c>
      <c r="J24" s="197">
        <f>5+4</f>
        <v>9</v>
      </c>
    </row>
    <row r="25" spans="7:11" x14ac:dyDescent="0.2">
      <c r="H25" s="51"/>
      <c r="I25" s="179">
        <f>I24/I18</f>
        <v>0.20202020202020202</v>
      </c>
      <c r="J25" s="179">
        <f>J24/J18</f>
        <v>0.11842105263157894</v>
      </c>
    </row>
    <row r="27" spans="7:11" x14ac:dyDescent="0.2">
      <c r="I27" s="62">
        <f>I21+I25+I23</f>
        <v>0.97727272727272729</v>
      </c>
      <c r="J27" s="62">
        <f>J21+J25+J23</f>
        <v>0.98684210526315785</v>
      </c>
    </row>
    <row r="29" spans="7:11" x14ac:dyDescent="0.2">
      <c r="I29">
        <f>I20+I22+I24</f>
        <v>387</v>
      </c>
      <c r="J29">
        <f>J20+J22+J24</f>
        <v>75</v>
      </c>
    </row>
    <row r="30" spans="7:11" x14ac:dyDescent="0.2">
      <c r="I30">
        <f>I18-I29</f>
        <v>9</v>
      </c>
      <c r="J30">
        <f>J18-J29</f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66"/>
  <sheetViews>
    <sheetView workbookViewId="0">
      <selection activeCell="F12" sqref="F12:F18"/>
    </sheetView>
  </sheetViews>
  <sheetFormatPr baseColWidth="10" defaultRowHeight="16" x14ac:dyDescent="0.2"/>
  <cols>
    <col min="1" max="1" width="13.33203125" bestFit="1" customWidth="1"/>
    <col min="2" max="2" width="16.83203125" customWidth="1"/>
  </cols>
  <sheetData>
    <row r="1" spans="1:11" x14ac:dyDescent="0.2">
      <c r="A1" s="48" t="s">
        <v>1</v>
      </c>
      <c r="B1" t="s">
        <v>399</v>
      </c>
    </row>
    <row r="2" spans="1:11" x14ac:dyDescent="0.2">
      <c r="A2" s="48" t="s">
        <v>2</v>
      </c>
      <c r="B2" t="s">
        <v>81</v>
      </c>
    </row>
    <row r="4" spans="1:11" x14ac:dyDescent="0.2">
      <c r="A4" s="48" t="s">
        <v>362</v>
      </c>
      <c r="B4" t="s">
        <v>360</v>
      </c>
    </row>
    <row r="5" spans="1:11" x14ac:dyDescent="0.2">
      <c r="A5" s="45" t="s">
        <v>12</v>
      </c>
      <c r="B5" s="46">
        <v>1</v>
      </c>
    </row>
    <row r="6" spans="1:11" x14ac:dyDescent="0.2">
      <c r="A6" s="45" t="s">
        <v>13</v>
      </c>
      <c r="B6" s="46">
        <v>11</v>
      </c>
    </row>
    <row r="7" spans="1:11" x14ac:dyDescent="0.2">
      <c r="A7" s="45" t="s">
        <v>9</v>
      </c>
      <c r="B7" s="46">
        <v>2</v>
      </c>
    </row>
    <row r="8" spans="1:11" x14ac:dyDescent="0.2">
      <c r="A8" s="45" t="s">
        <v>8</v>
      </c>
      <c r="B8" s="46">
        <v>3</v>
      </c>
    </row>
    <row r="9" spans="1:11" x14ac:dyDescent="0.2">
      <c r="A9" s="45" t="s">
        <v>7</v>
      </c>
      <c r="B9" s="46">
        <v>9</v>
      </c>
    </row>
    <row r="10" spans="1:11" x14ac:dyDescent="0.2">
      <c r="A10" s="45" t="s">
        <v>365</v>
      </c>
      <c r="B10" s="46">
        <v>26</v>
      </c>
    </row>
    <row r="11" spans="1:11" x14ac:dyDescent="0.2">
      <c r="F11" s="51"/>
      <c r="G11" s="198" t="s">
        <v>47</v>
      </c>
      <c r="H11" s="51"/>
      <c r="I11" s="198" t="s">
        <v>398</v>
      </c>
      <c r="J11" s="51"/>
    </row>
    <row r="12" spans="1:11" x14ac:dyDescent="0.2">
      <c r="E12" s="208" t="s">
        <v>441</v>
      </c>
      <c r="F12" s="41" t="s">
        <v>6</v>
      </c>
      <c r="G12" s="138">
        <f>145+9</f>
        <v>154</v>
      </c>
      <c r="H12" s="52">
        <f>G12/330</f>
        <v>0.46666666666666667</v>
      </c>
      <c r="I12" s="138">
        <v>1</v>
      </c>
      <c r="J12" s="52">
        <f>I12/142</f>
        <v>7.0422535211267607E-3</v>
      </c>
      <c r="K12" s="208" t="s">
        <v>441</v>
      </c>
    </row>
    <row r="13" spans="1:11" x14ac:dyDescent="0.2">
      <c r="E13" s="207">
        <f>H12+H13</f>
        <v>0.56060606060606055</v>
      </c>
      <c r="F13" s="41" t="s">
        <v>12</v>
      </c>
      <c r="G13" s="138">
        <f>18+13</f>
        <v>31</v>
      </c>
      <c r="H13" s="52">
        <f t="shared" ref="H13:H18" si="0">G13/330</f>
        <v>9.3939393939393934E-2</v>
      </c>
      <c r="I13" s="138">
        <v>5</v>
      </c>
      <c r="J13" s="52">
        <f t="shared" ref="J13:J18" si="1">I13/142</f>
        <v>3.5211267605633804E-2</v>
      </c>
      <c r="K13" s="207">
        <f>J12+J13</f>
        <v>4.2253521126760563E-2</v>
      </c>
    </row>
    <row r="14" spans="1:11" x14ac:dyDescent="0.2">
      <c r="F14" s="41" t="s">
        <v>11</v>
      </c>
      <c r="G14" s="138">
        <f>41+12</f>
        <v>53</v>
      </c>
      <c r="H14" s="52">
        <f t="shared" si="0"/>
        <v>0.16060606060606061</v>
      </c>
      <c r="I14" s="138">
        <v>7</v>
      </c>
      <c r="J14" s="52">
        <f t="shared" si="1"/>
        <v>4.9295774647887321E-2</v>
      </c>
    </row>
    <row r="15" spans="1:11" x14ac:dyDescent="0.2">
      <c r="F15" s="41" t="s">
        <v>8</v>
      </c>
      <c r="G15" s="138">
        <f>31+10</f>
        <v>41</v>
      </c>
      <c r="H15" s="52">
        <f t="shared" si="0"/>
        <v>0.12424242424242424</v>
      </c>
      <c r="I15" s="138">
        <v>38</v>
      </c>
      <c r="J15" s="52">
        <f t="shared" si="1"/>
        <v>0.26760563380281688</v>
      </c>
    </row>
    <row r="16" spans="1:11" x14ac:dyDescent="0.2">
      <c r="F16" s="41" t="s">
        <v>13</v>
      </c>
      <c r="G16" s="138">
        <v>18</v>
      </c>
      <c r="H16" s="52">
        <f t="shared" si="0"/>
        <v>5.4545454545454543E-2</v>
      </c>
      <c r="I16" s="138">
        <v>49</v>
      </c>
      <c r="J16" s="52">
        <f t="shared" si="1"/>
        <v>0.34507042253521125</v>
      </c>
    </row>
    <row r="17" spans="1:10" x14ac:dyDescent="0.2">
      <c r="F17" s="41" t="s">
        <v>7</v>
      </c>
      <c r="G17" s="138">
        <v>40</v>
      </c>
      <c r="H17" s="52">
        <f t="shared" si="0"/>
        <v>0.12121212121212122</v>
      </c>
      <c r="I17" s="138">
        <v>23</v>
      </c>
      <c r="J17" s="52">
        <f t="shared" si="1"/>
        <v>0.1619718309859155</v>
      </c>
    </row>
    <row r="18" spans="1:10" x14ac:dyDescent="0.2">
      <c r="F18" s="41" t="s">
        <v>9</v>
      </c>
      <c r="G18" s="138">
        <v>39</v>
      </c>
      <c r="H18" s="52">
        <f t="shared" si="0"/>
        <v>0.11818181818181818</v>
      </c>
      <c r="I18" s="138">
        <v>32</v>
      </c>
      <c r="J18" s="52">
        <f t="shared" si="1"/>
        <v>0.22535211267605634</v>
      </c>
    </row>
    <row r="19" spans="1:10" x14ac:dyDescent="0.2">
      <c r="G19" s="138">
        <v>330</v>
      </c>
      <c r="I19" s="138">
        <v>142</v>
      </c>
    </row>
    <row r="22" spans="1:10" x14ac:dyDescent="0.2">
      <c r="G22">
        <f>SUM(G12:G18)</f>
        <v>376</v>
      </c>
      <c r="H22" s="62">
        <f>SUM(H12:H18)</f>
        <v>1.1393939393939394</v>
      </c>
      <c r="I22">
        <f>SUM(I12:I18)</f>
        <v>155</v>
      </c>
      <c r="J22" s="62">
        <f>SUM(J12:J18)</f>
        <v>1.0915492957746478</v>
      </c>
    </row>
    <row r="23" spans="1:10" x14ac:dyDescent="0.2">
      <c r="A23" s="48" t="s">
        <v>1</v>
      </c>
      <c r="B23" t="s">
        <v>399</v>
      </c>
      <c r="G23">
        <v>330</v>
      </c>
      <c r="H23" s="142">
        <f>G23*H22/G22</f>
        <v>1</v>
      </c>
      <c r="I23">
        <v>142</v>
      </c>
      <c r="J23" s="142">
        <f>I23*J22/I22</f>
        <v>0.99999999999999978</v>
      </c>
    </row>
    <row r="24" spans="1:10" x14ac:dyDescent="0.2">
      <c r="A24" s="48" t="s">
        <v>2</v>
      </c>
      <c r="B24" t="s">
        <v>81</v>
      </c>
    </row>
    <row r="26" spans="1:10" x14ac:dyDescent="0.2">
      <c r="A26" s="48" t="s">
        <v>362</v>
      </c>
      <c r="B26" t="s">
        <v>360</v>
      </c>
    </row>
    <row r="27" spans="1:10" x14ac:dyDescent="0.2">
      <c r="A27" s="45" t="s">
        <v>10</v>
      </c>
      <c r="B27" s="46">
        <v>1</v>
      </c>
    </row>
    <row r="28" spans="1:10" x14ac:dyDescent="0.2">
      <c r="A28" s="45" t="s">
        <v>365</v>
      </c>
      <c r="B28" s="46">
        <v>1</v>
      </c>
    </row>
    <row r="30" spans="1:10" x14ac:dyDescent="0.2">
      <c r="E30">
        <f>60+7</f>
        <v>67</v>
      </c>
    </row>
    <row r="32" spans="1:10" ht="17" thickBot="1" x14ac:dyDescent="0.25">
      <c r="H32" s="222"/>
    </row>
    <row r="33" spans="5:14" ht="30" x14ac:dyDescent="0.2">
      <c r="E33">
        <f>27+8</f>
        <v>35</v>
      </c>
      <c r="G33" s="124"/>
      <c r="H33" s="223"/>
      <c r="I33" s="216" t="s">
        <v>461</v>
      </c>
      <c r="J33" s="216" t="s">
        <v>478</v>
      </c>
      <c r="K33" s="216" t="s">
        <v>479</v>
      </c>
      <c r="L33" s="216" t="s">
        <v>462</v>
      </c>
      <c r="M33" s="216" t="s">
        <v>460</v>
      </c>
      <c r="N33" s="216" t="s">
        <v>463</v>
      </c>
    </row>
    <row r="34" spans="5:14" ht="17" thickBot="1" x14ac:dyDescent="0.25">
      <c r="G34" s="124"/>
      <c r="H34" s="224"/>
      <c r="I34" s="217" t="s">
        <v>475</v>
      </c>
      <c r="J34" s="217" t="s">
        <v>480</v>
      </c>
      <c r="K34" s="217" t="s">
        <v>481</v>
      </c>
      <c r="L34" s="217" t="s">
        <v>476</v>
      </c>
      <c r="M34" s="217" t="s">
        <v>477</v>
      </c>
      <c r="N34" s="217" t="s">
        <v>474</v>
      </c>
    </row>
    <row r="35" spans="5:14" ht="46" thickBot="1" x14ac:dyDescent="0.25">
      <c r="H35" s="218" t="s">
        <v>469</v>
      </c>
      <c r="I35" s="221">
        <f>2/142</f>
        <v>1.4084507042253521E-2</v>
      </c>
      <c r="J35" s="221">
        <f>1/116</f>
        <v>8.6206896551724137E-3</v>
      </c>
      <c r="K35" s="221">
        <f>1/26</f>
        <v>3.8461538461538464E-2</v>
      </c>
      <c r="L35" s="221">
        <f>6/50</f>
        <v>0.12</v>
      </c>
      <c r="M35" s="221">
        <f>5/280</f>
        <v>1.7857142857142856E-2</v>
      </c>
      <c r="N35" s="219">
        <f>13/472</f>
        <v>2.7542372881355932E-2</v>
      </c>
    </row>
    <row r="36" spans="5:14" ht="31" thickBot="1" x14ac:dyDescent="0.25">
      <c r="H36" s="218" t="s">
        <v>466</v>
      </c>
      <c r="I36" s="221">
        <f>38/142</f>
        <v>0.26760563380281688</v>
      </c>
      <c r="J36" s="221">
        <f>35/116</f>
        <v>0.30172413793103448</v>
      </c>
      <c r="K36" s="221">
        <f>3/26</f>
        <v>0.11538461538461539</v>
      </c>
      <c r="L36" s="221">
        <f>4/50</f>
        <v>0.08</v>
      </c>
      <c r="M36" s="221">
        <f>37/280</f>
        <v>0.13214285714285715</v>
      </c>
      <c r="N36" s="219">
        <f>79/472</f>
        <v>0.1673728813559322</v>
      </c>
    </row>
    <row r="37" spans="5:14" ht="31" thickBot="1" x14ac:dyDescent="0.25">
      <c r="H37" s="218" t="s">
        <v>468</v>
      </c>
      <c r="I37" s="221">
        <f>7/142</f>
        <v>4.9295774647887321E-2</v>
      </c>
      <c r="J37" s="221">
        <f>7/116</f>
        <v>6.0344827586206899E-2</v>
      </c>
      <c r="K37" s="221">
        <v>0</v>
      </c>
      <c r="L37" s="221">
        <f>5/50</f>
        <v>0.1</v>
      </c>
      <c r="M37" s="221">
        <f>48/280</f>
        <v>0.17142857142857143</v>
      </c>
      <c r="N37" s="219">
        <v>0.1271186440677966</v>
      </c>
    </row>
    <row r="38" spans="5:14" ht="17" thickBot="1" x14ac:dyDescent="0.25">
      <c r="H38" s="218" t="s">
        <v>470</v>
      </c>
      <c r="I38" s="221">
        <f>23/142</f>
        <v>0.1619718309859155</v>
      </c>
      <c r="J38" s="221">
        <f>14/116</f>
        <v>0.1206896551724138</v>
      </c>
      <c r="K38" s="221">
        <f>9/26</f>
        <v>0.34615384615384615</v>
      </c>
      <c r="L38" s="221">
        <f>21/50</f>
        <v>0.42</v>
      </c>
      <c r="M38" s="221">
        <f>19/280</f>
        <v>6.7857142857142852E-2</v>
      </c>
      <c r="N38" s="219">
        <v>0.13347457627118645</v>
      </c>
    </row>
    <row r="39" spans="5:14" ht="17" thickBot="1" x14ac:dyDescent="0.25">
      <c r="H39" s="218" t="s">
        <v>471</v>
      </c>
      <c r="I39" s="221">
        <f>32/142</f>
        <v>0.22535211267605634</v>
      </c>
      <c r="J39" s="221">
        <f>30/116</f>
        <v>0.25862068965517243</v>
      </c>
      <c r="K39" s="221">
        <f>2/26</f>
        <v>7.6923076923076927E-2</v>
      </c>
      <c r="L39" s="221">
        <f>1/50</f>
        <v>0.02</v>
      </c>
      <c r="M39" s="221">
        <f>38/280</f>
        <v>0.1357142857142857</v>
      </c>
      <c r="N39" s="219">
        <f>71/472</f>
        <v>0.15042372881355931</v>
      </c>
    </row>
    <row r="40" spans="5:14" ht="46" thickBot="1" x14ac:dyDescent="0.25">
      <c r="H40" s="218" t="s">
        <v>467</v>
      </c>
      <c r="I40" s="221">
        <f>1/142</f>
        <v>7.0422535211267607E-3</v>
      </c>
      <c r="J40" s="221">
        <f>1/116</f>
        <v>8.6206896551724137E-3</v>
      </c>
      <c r="K40" s="221">
        <v>0</v>
      </c>
      <c r="L40" s="221">
        <f>14/50</f>
        <v>0.28000000000000003</v>
      </c>
      <c r="M40" s="221">
        <f>140/280</f>
        <v>0.5</v>
      </c>
      <c r="N40" s="219">
        <f>155/472</f>
        <v>0.32838983050847459</v>
      </c>
    </row>
    <row r="41" spans="5:14" ht="17" thickBot="1" x14ac:dyDescent="0.25">
      <c r="H41" s="218" t="s">
        <v>473</v>
      </c>
      <c r="I41" s="221">
        <f>5/142</f>
        <v>3.5211267605633804E-2</v>
      </c>
      <c r="J41" s="221">
        <f>4/116</f>
        <v>3.4482758620689655E-2</v>
      </c>
      <c r="K41" s="221">
        <f>1/26</f>
        <v>3.8461538461538464E-2</v>
      </c>
      <c r="L41" s="221">
        <f>6/50</f>
        <v>0.12</v>
      </c>
      <c r="M41" s="221">
        <f>25/280</f>
        <v>8.9285714285714288E-2</v>
      </c>
      <c r="N41" s="219">
        <f>36/472</f>
        <v>7.6271186440677971E-2</v>
      </c>
    </row>
    <row r="42" spans="5:14" ht="31" thickBot="1" x14ac:dyDescent="0.25">
      <c r="H42" s="218" t="s">
        <v>464</v>
      </c>
      <c r="I42" s="221">
        <f>49/142</f>
        <v>0.34507042253521125</v>
      </c>
      <c r="J42" s="221">
        <f>38/116</f>
        <v>0.32758620689655171</v>
      </c>
      <c r="K42" s="221">
        <f>11/26</f>
        <v>0.42307692307692307</v>
      </c>
      <c r="L42" s="221">
        <f>3/50</f>
        <v>0.06</v>
      </c>
      <c r="M42" s="221">
        <f>15/280</f>
        <v>5.3571428571428568E-2</v>
      </c>
      <c r="N42" s="219">
        <f>67/472</f>
        <v>0.14194915254237289</v>
      </c>
    </row>
    <row r="43" spans="5:14" x14ac:dyDescent="0.2">
      <c r="K43" s="220"/>
    </row>
    <row r="44" spans="5:14" ht="17" thickBot="1" x14ac:dyDescent="0.25">
      <c r="L44" s="220"/>
    </row>
    <row r="45" spans="5:14" ht="31" thickBot="1" x14ac:dyDescent="0.25">
      <c r="I45" s="216" t="s">
        <v>478</v>
      </c>
      <c r="J45" s="216" t="s">
        <v>479</v>
      </c>
    </row>
    <row r="46" spans="5:14" ht="31" thickBot="1" x14ac:dyDescent="0.25">
      <c r="H46" s="225" t="s">
        <v>464</v>
      </c>
      <c r="I46" s="221">
        <f>38/116</f>
        <v>0.32758620689655171</v>
      </c>
      <c r="J46" s="221">
        <f>11/26</f>
        <v>0.42307692307692307</v>
      </c>
    </row>
    <row r="47" spans="5:14" ht="31" thickBot="1" x14ac:dyDescent="0.25">
      <c r="H47" s="226" t="s">
        <v>466</v>
      </c>
      <c r="I47" s="221">
        <f>35/116</f>
        <v>0.30172413793103448</v>
      </c>
      <c r="J47" s="221">
        <f>3/26</f>
        <v>0.11538461538461539</v>
      </c>
    </row>
    <row r="48" spans="5:14" ht="17" thickBot="1" x14ac:dyDescent="0.25">
      <c r="H48" s="226" t="s">
        <v>470</v>
      </c>
      <c r="I48" s="221">
        <f>14/116</f>
        <v>0.1206896551724138</v>
      </c>
      <c r="J48" s="221">
        <f>9/26</f>
        <v>0.34615384615384615</v>
      </c>
    </row>
    <row r="49" spans="8:13" ht="46" thickBot="1" x14ac:dyDescent="0.25">
      <c r="H49" s="226" t="s">
        <v>469</v>
      </c>
      <c r="I49" s="221">
        <f>1/116</f>
        <v>8.6206896551724137E-3</v>
      </c>
      <c r="J49" s="221">
        <f>1/26</f>
        <v>3.8461538461538464E-2</v>
      </c>
    </row>
    <row r="50" spans="8:13" ht="17" thickBot="1" x14ac:dyDescent="0.25">
      <c r="H50" s="226" t="s">
        <v>471</v>
      </c>
      <c r="I50" s="221">
        <f>30/116</f>
        <v>0.25862068965517243</v>
      </c>
      <c r="J50" s="221">
        <f>2/26</f>
        <v>7.6923076923076927E-2</v>
      </c>
    </row>
    <row r="51" spans="8:13" ht="31" thickBot="1" x14ac:dyDescent="0.25">
      <c r="H51" s="226" t="s">
        <v>468</v>
      </c>
      <c r="I51" s="221">
        <f>7/116</f>
        <v>6.0344827586206899E-2</v>
      </c>
      <c r="J51" s="221">
        <v>0</v>
      </c>
    </row>
    <row r="52" spans="8:13" ht="17" thickBot="1" x14ac:dyDescent="0.25">
      <c r="H52" s="226" t="s">
        <v>473</v>
      </c>
      <c r="I52" s="221">
        <f>4/116</f>
        <v>3.4482758620689655E-2</v>
      </c>
      <c r="J52" s="221">
        <f>1/26</f>
        <v>3.8461538461538464E-2</v>
      </c>
    </row>
    <row r="53" spans="8:13" ht="46" thickBot="1" x14ac:dyDescent="0.25">
      <c r="H53" s="218" t="s">
        <v>467</v>
      </c>
      <c r="I53" s="221">
        <f>1/116</f>
        <v>8.6206896551724137E-3</v>
      </c>
      <c r="J53" s="221">
        <v>0</v>
      </c>
    </row>
    <row r="56" spans="8:13" ht="17" thickBot="1" x14ac:dyDescent="0.25"/>
    <row r="57" spans="8:13" ht="30" x14ac:dyDescent="0.2">
      <c r="H57" s="279"/>
      <c r="I57" s="227" t="s">
        <v>482</v>
      </c>
      <c r="J57" s="277" t="s">
        <v>483</v>
      </c>
      <c r="K57" s="227" t="s">
        <v>462</v>
      </c>
      <c r="L57" s="227" t="s">
        <v>460</v>
      </c>
      <c r="M57" s="227" t="s">
        <v>463</v>
      </c>
    </row>
    <row r="58" spans="8:13" ht="17" thickBot="1" x14ac:dyDescent="0.25">
      <c r="H58" s="280"/>
      <c r="I58" s="228" t="s">
        <v>480</v>
      </c>
      <c r="J58" s="278"/>
      <c r="K58" s="228" t="s">
        <v>476</v>
      </c>
      <c r="L58" s="228" t="s">
        <v>477</v>
      </c>
      <c r="M58" s="228" t="s">
        <v>474</v>
      </c>
    </row>
    <row r="59" spans="8:13" ht="31" thickBot="1" x14ac:dyDescent="0.25">
      <c r="H59" s="226" t="s">
        <v>464</v>
      </c>
      <c r="I59" s="228" t="s">
        <v>506</v>
      </c>
      <c r="J59" s="228" t="s">
        <v>507</v>
      </c>
      <c r="K59" s="228" t="s">
        <v>484</v>
      </c>
      <c r="L59" s="228" t="s">
        <v>485</v>
      </c>
      <c r="M59" s="228" t="s">
        <v>486</v>
      </c>
    </row>
    <row r="60" spans="8:13" ht="31" thickBot="1" x14ac:dyDescent="0.25">
      <c r="H60" s="226" t="s">
        <v>466</v>
      </c>
      <c r="I60" s="228" t="s">
        <v>508</v>
      </c>
      <c r="J60" s="228" t="s">
        <v>509</v>
      </c>
      <c r="K60" s="228" t="s">
        <v>487</v>
      </c>
      <c r="L60" s="228" t="s">
        <v>488</v>
      </c>
      <c r="M60" s="228" t="s">
        <v>489</v>
      </c>
    </row>
    <row r="61" spans="8:13" ht="17" thickBot="1" x14ac:dyDescent="0.25">
      <c r="H61" s="226" t="s">
        <v>470</v>
      </c>
      <c r="I61" s="228" t="s">
        <v>510</v>
      </c>
      <c r="J61" s="228" t="s">
        <v>511</v>
      </c>
      <c r="K61" s="228" t="s">
        <v>490</v>
      </c>
      <c r="L61" s="228" t="s">
        <v>491</v>
      </c>
      <c r="M61" s="228" t="s">
        <v>492</v>
      </c>
    </row>
    <row r="62" spans="8:13" ht="46" thickBot="1" x14ac:dyDescent="0.25">
      <c r="H62" s="226" t="s">
        <v>469</v>
      </c>
      <c r="I62" s="228" t="s">
        <v>512</v>
      </c>
      <c r="J62" s="228" t="s">
        <v>472</v>
      </c>
      <c r="K62" s="228" t="s">
        <v>493</v>
      </c>
      <c r="L62" s="228" t="s">
        <v>494</v>
      </c>
      <c r="M62" s="228" t="s">
        <v>495</v>
      </c>
    </row>
    <row r="63" spans="8:13" ht="17" thickBot="1" x14ac:dyDescent="0.25">
      <c r="H63" s="226" t="s">
        <v>471</v>
      </c>
      <c r="I63" s="228" t="s">
        <v>513</v>
      </c>
      <c r="J63" s="228" t="s">
        <v>465</v>
      </c>
      <c r="K63" s="228" t="s">
        <v>496</v>
      </c>
      <c r="L63" s="228" t="s">
        <v>497</v>
      </c>
      <c r="M63" s="228" t="s">
        <v>498</v>
      </c>
    </row>
    <row r="64" spans="8:13" ht="31" thickBot="1" x14ac:dyDescent="0.25">
      <c r="H64" s="226" t="s">
        <v>468</v>
      </c>
      <c r="I64" s="228" t="s">
        <v>484</v>
      </c>
      <c r="J64" s="228" t="s">
        <v>514</v>
      </c>
      <c r="K64" s="228" t="s">
        <v>499</v>
      </c>
      <c r="L64" s="228" t="s">
        <v>500</v>
      </c>
      <c r="M64" s="228" t="s">
        <v>501</v>
      </c>
    </row>
    <row r="65" spans="8:13" ht="17" thickBot="1" x14ac:dyDescent="0.25">
      <c r="H65" s="226" t="s">
        <v>473</v>
      </c>
      <c r="I65" s="228" t="s">
        <v>515</v>
      </c>
      <c r="J65" s="228" t="s">
        <v>472</v>
      </c>
      <c r="K65" s="228" t="s">
        <v>493</v>
      </c>
      <c r="L65" s="228" t="s">
        <v>502</v>
      </c>
      <c r="M65" s="228" t="s">
        <v>503</v>
      </c>
    </row>
    <row r="66" spans="8:13" ht="46" thickBot="1" x14ac:dyDescent="0.25">
      <c r="H66" s="226" t="s">
        <v>467</v>
      </c>
      <c r="I66" s="228" t="s">
        <v>512</v>
      </c>
      <c r="J66" s="228" t="s">
        <v>514</v>
      </c>
      <c r="K66" s="228" t="s">
        <v>504</v>
      </c>
      <c r="L66" s="228" t="s">
        <v>505</v>
      </c>
      <c r="M66" s="228" t="s">
        <v>506</v>
      </c>
    </row>
  </sheetData>
  <mergeCells count="2">
    <mergeCell ref="J57:J58"/>
    <mergeCell ref="H57:H5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AJ56"/>
  <sheetViews>
    <sheetView zoomScale="90" zoomScaleNormal="90" workbookViewId="0">
      <selection activeCell="A5" sqref="A5"/>
    </sheetView>
  </sheetViews>
  <sheetFormatPr baseColWidth="10" defaultRowHeight="16" x14ac:dyDescent="0.2"/>
  <cols>
    <col min="1" max="1" width="28.1640625" customWidth="1"/>
    <col min="2" max="2" width="10.5" customWidth="1"/>
    <col min="3" max="3" width="3.5" customWidth="1"/>
    <col min="4" max="4" width="8" customWidth="1"/>
    <col min="5" max="5" width="5" customWidth="1"/>
    <col min="6" max="6" width="3.5" customWidth="1"/>
    <col min="7" max="7" width="8" bestFit="1" customWidth="1"/>
    <col min="8" max="10" width="10.83203125" customWidth="1"/>
    <col min="11" max="12" width="3.5" bestFit="1" customWidth="1"/>
    <col min="13" max="13" width="8" bestFit="1" customWidth="1"/>
    <col min="14" max="15" width="3.5" bestFit="1" customWidth="1"/>
    <col min="16" max="16" width="8" bestFit="1" customWidth="1"/>
    <col min="17" max="17" width="10.83203125" bestFit="1" customWidth="1"/>
    <col min="18" max="18" width="7.6640625" bestFit="1" customWidth="1"/>
    <col min="19" max="19" width="10.6640625" bestFit="1" customWidth="1"/>
    <col min="20" max="20" width="7" customWidth="1"/>
    <col min="22" max="23" width="3.1640625" bestFit="1" customWidth="1"/>
    <col min="24" max="24" width="7.6640625" bestFit="1" customWidth="1"/>
    <col min="25" max="26" width="3.1640625" bestFit="1" customWidth="1"/>
    <col min="27" max="27" width="7.6640625" bestFit="1" customWidth="1"/>
    <col min="28" max="28" width="10.6640625" bestFit="1" customWidth="1"/>
    <col min="30" max="31" width="3.5" bestFit="1" customWidth="1"/>
    <col min="32" max="32" width="8" bestFit="1" customWidth="1"/>
    <col min="33" max="34" width="3.5" bestFit="1" customWidth="1"/>
    <col min="35" max="35" width="8" bestFit="1" customWidth="1"/>
    <col min="36" max="36" width="10.83203125" customWidth="1"/>
  </cols>
  <sheetData>
    <row r="2" spans="1:36" x14ac:dyDescent="0.2">
      <c r="AC2" s="49" t="s">
        <v>390</v>
      </c>
    </row>
    <row r="3" spans="1:36" x14ac:dyDescent="0.2">
      <c r="A3" s="48" t="s">
        <v>4</v>
      </c>
      <c r="B3" t="s">
        <v>53</v>
      </c>
      <c r="J3" t="s">
        <v>401</v>
      </c>
      <c r="T3" s="49" t="s">
        <v>402</v>
      </c>
      <c r="U3" s="49"/>
      <c r="AB3" s="63" t="s">
        <v>403</v>
      </c>
      <c r="AC3" s="49" t="s">
        <v>404</v>
      </c>
      <c r="AD3" s="49"/>
      <c r="AE3" s="49"/>
      <c r="AF3" s="49"/>
      <c r="AG3" s="49"/>
      <c r="AH3" s="49"/>
      <c r="AI3" s="50"/>
    </row>
    <row r="4" spans="1:36" ht="17" thickBot="1" x14ac:dyDescent="0.25">
      <c r="A4" s="49" t="s">
        <v>381</v>
      </c>
      <c r="B4" s="49"/>
      <c r="L4" s="128"/>
      <c r="U4" s="128"/>
    </row>
    <row r="5" spans="1:36" ht="17" thickBot="1" x14ac:dyDescent="0.25">
      <c r="A5" s="48" t="s">
        <v>360</v>
      </c>
      <c r="B5" s="127" t="s">
        <v>387</v>
      </c>
      <c r="C5" s="64"/>
      <c r="D5" s="65"/>
      <c r="E5" s="66"/>
      <c r="F5" s="66"/>
      <c r="G5" s="67"/>
      <c r="H5" s="67"/>
      <c r="I5" s="172"/>
      <c r="J5" s="68" t="s">
        <v>360</v>
      </c>
      <c r="K5" s="69"/>
      <c r="L5" s="70"/>
      <c r="M5" s="71"/>
      <c r="N5" s="69"/>
      <c r="O5" s="70"/>
      <c r="P5" s="71"/>
      <c r="Q5" s="72"/>
      <c r="R5" s="172"/>
      <c r="T5" s="68" t="s">
        <v>360</v>
      </c>
      <c r="U5" s="69"/>
      <c r="V5" s="70"/>
      <c r="W5" s="71"/>
      <c r="X5" s="69"/>
      <c r="Y5" s="70"/>
      <c r="Z5" s="71"/>
      <c r="AA5" s="72"/>
      <c r="AC5" s="68" t="s">
        <v>360</v>
      </c>
      <c r="AD5" s="69"/>
      <c r="AE5" s="70"/>
      <c r="AF5" s="71"/>
      <c r="AG5" s="69"/>
      <c r="AH5" s="70"/>
      <c r="AI5" s="71"/>
      <c r="AJ5" s="72"/>
    </row>
    <row r="6" spans="1:36" ht="17" thickBot="1" x14ac:dyDescent="0.25">
      <c r="B6" s="160">
        <v>14</v>
      </c>
      <c r="C6" s="161"/>
      <c r="D6" s="73" t="s">
        <v>388</v>
      </c>
      <c r="E6" s="65">
        <v>21</v>
      </c>
      <c r="F6" s="67"/>
      <c r="G6" s="73" t="s">
        <v>389</v>
      </c>
      <c r="H6" t="s">
        <v>365</v>
      </c>
      <c r="J6" s="74"/>
      <c r="K6" s="75">
        <v>14</v>
      </c>
      <c r="L6" s="76"/>
      <c r="M6" s="71" t="s">
        <v>388</v>
      </c>
      <c r="N6" s="75">
        <v>21</v>
      </c>
      <c r="O6" s="76"/>
      <c r="P6" s="71" t="s">
        <v>389</v>
      </c>
      <c r="Q6" s="77" t="s">
        <v>365</v>
      </c>
      <c r="T6" s="74"/>
      <c r="U6" s="75">
        <v>14</v>
      </c>
      <c r="V6" s="76"/>
      <c r="W6" s="71" t="s">
        <v>388</v>
      </c>
      <c r="X6" s="75">
        <v>21</v>
      </c>
      <c r="Y6" s="76"/>
      <c r="Z6" s="71" t="s">
        <v>389</v>
      </c>
      <c r="AA6" s="77" t="s">
        <v>365</v>
      </c>
      <c r="AC6" s="74"/>
      <c r="AD6" s="75">
        <v>14</v>
      </c>
      <c r="AE6" s="76"/>
      <c r="AF6" s="71" t="s">
        <v>388</v>
      </c>
      <c r="AG6" s="75">
        <v>21</v>
      </c>
      <c r="AH6" s="76"/>
      <c r="AI6" s="71" t="s">
        <v>389</v>
      </c>
      <c r="AJ6" s="77" t="s">
        <v>365</v>
      </c>
    </row>
    <row r="7" spans="1:36" ht="17" thickBot="1" x14ac:dyDescent="0.25">
      <c r="A7" s="48" t="s">
        <v>362</v>
      </c>
      <c r="B7" s="78" t="s">
        <v>78</v>
      </c>
      <c r="C7" s="171" t="s">
        <v>49</v>
      </c>
      <c r="D7" s="79"/>
      <c r="E7" s="65" t="s">
        <v>78</v>
      </c>
      <c r="F7" s="171" t="s">
        <v>49</v>
      </c>
      <c r="G7" s="79"/>
      <c r="J7" s="80" t="s">
        <v>362</v>
      </c>
      <c r="K7" s="81" t="s">
        <v>78</v>
      </c>
      <c r="L7" s="76" t="s">
        <v>49</v>
      </c>
      <c r="M7" s="71"/>
      <c r="N7" s="75" t="s">
        <v>78</v>
      </c>
      <c r="O7" s="76" t="s">
        <v>49</v>
      </c>
      <c r="P7" s="71"/>
      <c r="Q7" s="82"/>
      <c r="T7" s="80" t="s">
        <v>362</v>
      </c>
      <c r="U7" s="81" t="s">
        <v>78</v>
      </c>
      <c r="V7" s="76" t="s">
        <v>49</v>
      </c>
      <c r="W7" s="71"/>
      <c r="X7" s="75" t="s">
        <v>78</v>
      </c>
      <c r="Y7" s="76" t="s">
        <v>49</v>
      </c>
      <c r="Z7" s="71"/>
      <c r="AA7" s="82"/>
      <c r="AC7" s="80" t="s">
        <v>362</v>
      </c>
      <c r="AD7" s="81" t="s">
        <v>78</v>
      </c>
      <c r="AE7" s="76" t="s">
        <v>49</v>
      </c>
      <c r="AF7" s="71"/>
      <c r="AG7" s="75" t="s">
        <v>78</v>
      </c>
      <c r="AH7" s="76" t="s">
        <v>49</v>
      </c>
      <c r="AI7" s="71"/>
      <c r="AJ7" s="82"/>
    </row>
    <row r="8" spans="1:36" x14ac:dyDescent="0.2">
      <c r="A8" s="45" t="s">
        <v>57</v>
      </c>
      <c r="B8" s="157">
        <v>10</v>
      </c>
      <c r="C8" s="84">
        <v>14</v>
      </c>
      <c r="D8" s="83">
        <v>24</v>
      </c>
      <c r="E8" s="84">
        <v>11</v>
      </c>
      <c r="F8" s="84">
        <v>8</v>
      </c>
      <c r="G8" s="85">
        <v>19</v>
      </c>
      <c r="H8" s="46">
        <v>43</v>
      </c>
      <c r="I8" s="46"/>
      <c r="J8" s="86" t="s">
        <v>57</v>
      </c>
      <c r="K8" s="87">
        <f>K9+K12</f>
        <v>8</v>
      </c>
      <c r="L8" s="88">
        <f>L9+L12</f>
        <v>6</v>
      </c>
      <c r="M8" s="89">
        <f>K8+L8</f>
        <v>14</v>
      </c>
      <c r="N8" s="87">
        <f>N9+N12</f>
        <v>9</v>
      </c>
      <c r="O8" s="88">
        <f>O9+O12</f>
        <v>11</v>
      </c>
      <c r="P8" s="89">
        <f>N8+O8</f>
        <v>20</v>
      </c>
      <c r="Q8" s="90">
        <f>Q9+Q12</f>
        <v>34</v>
      </c>
      <c r="R8" s="46"/>
      <c r="T8" s="86" t="s">
        <v>57</v>
      </c>
      <c r="U8" s="87">
        <v>4</v>
      </c>
      <c r="V8" s="88">
        <v>4</v>
      </c>
      <c r="W8" s="89">
        <v>8</v>
      </c>
      <c r="X8" s="87">
        <v>5</v>
      </c>
      <c r="Y8" s="88">
        <v>4</v>
      </c>
      <c r="Z8" s="89">
        <v>9</v>
      </c>
      <c r="AA8" s="90">
        <v>17</v>
      </c>
      <c r="AC8" s="86" t="s">
        <v>57</v>
      </c>
      <c r="AD8" s="87">
        <f>AD9+AD12</f>
        <v>4</v>
      </c>
      <c r="AE8" s="88">
        <f>AE9+AE12</f>
        <v>4</v>
      </c>
      <c r="AF8" s="89">
        <f>AD8+AE8</f>
        <v>8</v>
      </c>
      <c r="AG8" s="87">
        <f>AG9+AG12</f>
        <v>5</v>
      </c>
      <c r="AH8" s="88">
        <f>AH9+AH12</f>
        <v>5</v>
      </c>
      <c r="AI8" s="89">
        <f>AG8+AH8</f>
        <v>10</v>
      </c>
      <c r="AJ8" s="90">
        <f t="shared" ref="AJ8:AJ49" si="0">AF8+AI8</f>
        <v>18</v>
      </c>
    </row>
    <row r="9" spans="1:36" x14ac:dyDescent="0.2">
      <c r="A9" s="47" t="s">
        <v>74</v>
      </c>
      <c r="B9" s="158">
        <v>4</v>
      </c>
      <c r="C9" s="92">
        <v>4</v>
      </c>
      <c r="D9" s="91">
        <v>8</v>
      </c>
      <c r="E9" s="92">
        <v>6</v>
      </c>
      <c r="F9" s="92">
        <v>6</v>
      </c>
      <c r="G9" s="93">
        <v>12</v>
      </c>
      <c r="H9" s="46">
        <v>20</v>
      </c>
      <c r="I9" s="46"/>
      <c r="J9" s="94" t="s">
        <v>74</v>
      </c>
      <c r="K9" s="95">
        <f t="shared" ref="K9:Q9" si="1">K10+K11</f>
        <v>4</v>
      </c>
      <c r="L9" s="96">
        <f t="shared" si="1"/>
        <v>4</v>
      </c>
      <c r="M9" s="97">
        <f t="shared" si="1"/>
        <v>8</v>
      </c>
      <c r="N9" s="95">
        <f t="shared" si="1"/>
        <v>5</v>
      </c>
      <c r="O9" s="96">
        <f t="shared" si="1"/>
        <v>5</v>
      </c>
      <c r="P9" s="97">
        <f t="shared" si="1"/>
        <v>10</v>
      </c>
      <c r="Q9" s="99">
        <f t="shared" si="1"/>
        <v>18</v>
      </c>
      <c r="R9" s="46"/>
      <c r="T9" s="94" t="s">
        <v>74</v>
      </c>
      <c r="U9" s="95">
        <v>2</v>
      </c>
      <c r="V9" s="96">
        <v>2</v>
      </c>
      <c r="W9" s="97">
        <v>4</v>
      </c>
      <c r="X9" s="95">
        <v>4</v>
      </c>
      <c r="Y9" s="98">
        <v>3</v>
      </c>
      <c r="Z9" s="97">
        <v>7</v>
      </c>
      <c r="AA9" s="99">
        <v>11</v>
      </c>
      <c r="AC9" s="94" t="s">
        <v>74</v>
      </c>
      <c r="AD9" s="95">
        <f t="shared" ref="AD9:AI9" si="2">AD10+AD11</f>
        <v>2</v>
      </c>
      <c r="AE9" s="96">
        <f t="shared" si="2"/>
        <v>2</v>
      </c>
      <c r="AF9" s="97">
        <f t="shared" si="2"/>
        <v>4</v>
      </c>
      <c r="AG9" s="95">
        <f t="shared" si="2"/>
        <v>4</v>
      </c>
      <c r="AH9" s="98">
        <f t="shared" si="2"/>
        <v>4</v>
      </c>
      <c r="AI9" s="97">
        <f t="shared" si="2"/>
        <v>8</v>
      </c>
      <c r="AJ9" s="99">
        <f t="shared" si="0"/>
        <v>12</v>
      </c>
    </row>
    <row r="10" spans="1:36" x14ac:dyDescent="0.2">
      <c r="A10" s="53">
        <v>1</v>
      </c>
      <c r="B10" s="158">
        <v>1</v>
      </c>
      <c r="C10" s="92">
        <v>2</v>
      </c>
      <c r="D10" s="91">
        <v>3</v>
      </c>
      <c r="E10" s="92">
        <v>4</v>
      </c>
      <c r="F10" s="92">
        <v>3</v>
      </c>
      <c r="G10" s="93">
        <v>7</v>
      </c>
      <c r="H10" s="46">
        <v>10</v>
      </c>
      <c r="I10" s="46"/>
      <c r="J10" s="100">
        <v>1</v>
      </c>
      <c r="K10" s="162">
        <v>3</v>
      </c>
      <c r="L10" s="163">
        <v>2</v>
      </c>
      <c r="M10" s="103">
        <f>K10+L10</f>
        <v>5</v>
      </c>
      <c r="N10" s="162">
        <v>2</v>
      </c>
      <c r="O10" s="108">
        <v>3</v>
      </c>
      <c r="P10" s="103">
        <f>N10+O10</f>
        <v>5</v>
      </c>
      <c r="Q10" s="106">
        <f>M10+P10</f>
        <v>10</v>
      </c>
      <c r="R10" s="46"/>
      <c r="T10" s="100">
        <v>1</v>
      </c>
      <c r="U10" s="107">
        <v>1</v>
      </c>
      <c r="V10" s="108">
        <v>1</v>
      </c>
      <c r="W10" s="103">
        <v>2</v>
      </c>
      <c r="X10" s="107">
        <v>2</v>
      </c>
      <c r="Y10" s="108">
        <v>1</v>
      </c>
      <c r="Z10" s="103">
        <v>3</v>
      </c>
      <c r="AA10" s="106">
        <v>5</v>
      </c>
      <c r="AC10" s="100">
        <v>1</v>
      </c>
      <c r="AD10" s="107">
        <v>1</v>
      </c>
      <c r="AE10" s="108">
        <v>1</v>
      </c>
      <c r="AF10" s="103">
        <f>AD10+AE10</f>
        <v>2</v>
      </c>
      <c r="AG10" s="153">
        <v>2</v>
      </c>
      <c r="AH10" s="152">
        <v>2</v>
      </c>
      <c r="AI10" s="103">
        <f>AG10+AH10</f>
        <v>4</v>
      </c>
      <c r="AJ10" s="106">
        <f t="shared" si="0"/>
        <v>6</v>
      </c>
    </row>
    <row r="11" spans="1:36" x14ac:dyDescent="0.2">
      <c r="A11" s="53">
        <v>50</v>
      </c>
      <c r="B11" s="158">
        <v>3</v>
      </c>
      <c r="C11" s="92">
        <v>2</v>
      </c>
      <c r="D11" s="91">
        <v>5</v>
      </c>
      <c r="E11" s="92">
        <v>2</v>
      </c>
      <c r="F11" s="92">
        <v>3</v>
      </c>
      <c r="G11" s="93">
        <v>5</v>
      </c>
      <c r="H11" s="46">
        <v>10</v>
      </c>
      <c r="I11" s="46"/>
      <c r="J11" s="100">
        <v>50</v>
      </c>
      <c r="K11" s="162">
        <v>1</v>
      </c>
      <c r="L11" s="163">
        <v>2</v>
      </c>
      <c r="M11" s="103">
        <f>K11+L11</f>
        <v>3</v>
      </c>
      <c r="N11" s="162">
        <v>3</v>
      </c>
      <c r="O11" s="163">
        <v>2</v>
      </c>
      <c r="P11" s="103">
        <f>N11+O11</f>
        <v>5</v>
      </c>
      <c r="Q11" s="106">
        <f>M11+P11</f>
        <v>8</v>
      </c>
      <c r="R11" s="46"/>
      <c r="T11" s="100">
        <v>50</v>
      </c>
      <c r="U11" s="107">
        <v>1</v>
      </c>
      <c r="V11" s="108">
        <v>1</v>
      </c>
      <c r="W11" s="103">
        <v>2</v>
      </c>
      <c r="X11" s="107">
        <v>2</v>
      </c>
      <c r="Y11" s="108">
        <v>2</v>
      </c>
      <c r="Z11" s="103">
        <v>4</v>
      </c>
      <c r="AA11" s="106">
        <v>6</v>
      </c>
      <c r="AC11" s="100">
        <v>50</v>
      </c>
      <c r="AD11" s="107">
        <v>1</v>
      </c>
      <c r="AE11" s="108">
        <v>1</v>
      </c>
      <c r="AF11" s="103">
        <f>AD11+AE11</f>
        <v>2</v>
      </c>
      <c r="AG11" s="107">
        <v>2</v>
      </c>
      <c r="AH11" s="151">
        <v>2</v>
      </c>
      <c r="AI11" s="103">
        <f>AG11+AH11</f>
        <v>4</v>
      </c>
      <c r="AJ11" s="106">
        <f t="shared" si="0"/>
        <v>6</v>
      </c>
    </row>
    <row r="12" spans="1:36" x14ac:dyDescent="0.2">
      <c r="A12" s="47" t="s">
        <v>45</v>
      </c>
      <c r="B12" s="158">
        <v>6</v>
      </c>
      <c r="C12" s="92">
        <v>10</v>
      </c>
      <c r="D12" s="91">
        <v>16</v>
      </c>
      <c r="E12" s="92">
        <v>5</v>
      </c>
      <c r="F12" s="92">
        <v>2</v>
      </c>
      <c r="G12" s="93">
        <v>7</v>
      </c>
      <c r="H12" s="46">
        <v>23</v>
      </c>
      <c r="I12" s="46"/>
      <c r="J12" s="94" t="s">
        <v>45</v>
      </c>
      <c r="K12" s="95">
        <f t="shared" ref="K12:Q12" si="3">K13+K14</f>
        <v>4</v>
      </c>
      <c r="L12" s="96">
        <f t="shared" si="3"/>
        <v>2</v>
      </c>
      <c r="M12" s="97">
        <f t="shared" si="3"/>
        <v>6</v>
      </c>
      <c r="N12" s="95">
        <f t="shared" si="3"/>
        <v>4</v>
      </c>
      <c r="O12" s="96">
        <f t="shared" si="3"/>
        <v>6</v>
      </c>
      <c r="P12" s="97">
        <f t="shared" si="3"/>
        <v>10</v>
      </c>
      <c r="Q12" s="99">
        <f t="shared" si="3"/>
        <v>16</v>
      </c>
      <c r="R12" s="46"/>
      <c r="T12" s="94" t="s">
        <v>45</v>
      </c>
      <c r="U12" s="95">
        <v>2</v>
      </c>
      <c r="V12" s="96">
        <v>2</v>
      </c>
      <c r="W12" s="97">
        <v>4</v>
      </c>
      <c r="X12" s="95">
        <v>1</v>
      </c>
      <c r="Y12" s="96">
        <v>1</v>
      </c>
      <c r="Z12" s="97">
        <v>2</v>
      </c>
      <c r="AA12" s="99">
        <v>6</v>
      </c>
      <c r="AC12" s="94" t="s">
        <v>45</v>
      </c>
      <c r="AD12" s="95">
        <f t="shared" ref="AD12:AI12" si="4">AD13+AD14</f>
        <v>2</v>
      </c>
      <c r="AE12" s="96">
        <f t="shared" si="4"/>
        <v>2</v>
      </c>
      <c r="AF12" s="97">
        <f t="shared" si="4"/>
        <v>4</v>
      </c>
      <c r="AG12" s="95">
        <f t="shared" si="4"/>
        <v>1</v>
      </c>
      <c r="AH12" s="96">
        <f t="shared" si="4"/>
        <v>1</v>
      </c>
      <c r="AI12" s="97">
        <f t="shared" si="4"/>
        <v>2</v>
      </c>
      <c r="AJ12" s="99">
        <f t="shared" si="0"/>
        <v>6</v>
      </c>
    </row>
    <row r="13" spans="1:36" x14ac:dyDescent="0.2">
      <c r="A13" s="53">
        <v>1</v>
      </c>
      <c r="B13" s="158">
        <v>5</v>
      </c>
      <c r="C13" s="92">
        <v>6</v>
      </c>
      <c r="D13" s="91">
        <v>11</v>
      </c>
      <c r="E13" s="92">
        <v>1</v>
      </c>
      <c r="F13" s="92">
        <v>1</v>
      </c>
      <c r="G13" s="93">
        <v>2</v>
      </c>
      <c r="H13" s="46">
        <v>13</v>
      </c>
      <c r="I13" s="46"/>
      <c r="J13" s="100">
        <v>1</v>
      </c>
      <c r="K13" s="162">
        <v>1</v>
      </c>
      <c r="L13" s="163">
        <v>1</v>
      </c>
      <c r="M13" s="103">
        <f>K13+L13</f>
        <v>2</v>
      </c>
      <c r="N13" s="162">
        <v>3</v>
      </c>
      <c r="O13" s="163">
        <v>3</v>
      </c>
      <c r="P13" s="103">
        <f>N13+O13</f>
        <v>6</v>
      </c>
      <c r="Q13" s="106">
        <f>M13+P13</f>
        <v>8</v>
      </c>
      <c r="R13" s="46"/>
      <c r="T13" s="100">
        <v>1</v>
      </c>
      <c r="U13" s="107">
        <v>1</v>
      </c>
      <c r="V13" s="108">
        <v>1</v>
      </c>
      <c r="W13" s="103">
        <v>2</v>
      </c>
      <c r="X13" s="155">
        <v>0</v>
      </c>
      <c r="Y13" s="132">
        <v>0</v>
      </c>
      <c r="Z13" s="103">
        <v>0</v>
      </c>
      <c r="AA13" s="106">
        <v>2</v>
      </c>
      <c r="AC13" s="100">
        <v>1</v>
      </c>
      <c r="AD13" s="107">
        <v>1</v>
      </c>
      <c r="AE13" s="108">
        <v>1</v>
      </c>
      <c r="AF13" s="103">
        <f>AD13+AE13</f>
        <v>2</v>
      </c>
      <c r="AG13" s="156">
        <v>0</v>
      </c>
      <c r="AH13" s="132">
        <v>0</v>
      </c>
      <c r="AI13" s="103">
        <f>AG13+AH13</f>
        <v>0</v>
      </c>
      <c r="AJ13" s="106">
        <f t="shared" si="0"/>
        <v>2</v>
      </c>
    </row>
    <row r="14" spans="1:36" x14ac:dyDescent="0.2">
      <c r="A14" s="53">
        <v>50</v>
      </c>
      <c r="B14" s="158">
        <v>1</v>
      </c>
      <c r="C14" s="92">
        <v>4</v>
      </c>
      <c r="D14" s="91">
        <v>5</v>
      </c>
      <c r="E14" s="92">
        <v>4</v>
      </c>
      <c r="F14" s="92">
        <v>1</v>
      </c>
      <c r="G14" s="93">
        <v>5</v>
      </c>
      <c r="H14" s="46">
        <v>10</v>
      </c>
      <c r="I14" s="46"/>
      <c r="J14" s="100">
        <v>50</v>
      </c>
      <c r="K14" s="162">
        <v>3</v>
      </c>
      <c r="L14" s="163">
        <v>1</v>
      </c>
      <c r="M14" s="103">
        <f>K14+L14</f>
        <v>4</v>
      </c>
      <c r="N14" s="162">
        <v>1</v>
      </c>
      <c r="O14" s="163">
        <v>3</v>
      </c>
      <c r="P14" s="103">
        <f>N14+O14</f>
        <v>4</v>
      </c>
      <c r="Q14" s="106">
        <f>M14+P14</f>
        <v>8</v>
      </c>
      <c r="R14" s="46"/>
      <c r="T14" s="100">
        <v>50</v>
      </c>
      <c r="U14" s="107">
        <v>1</v>
      </c>
      <c r="V14" s="108">
        <v>1</v>
      </c>
      <c r="W14" s="103">
        <v>2</v>
      </c>
      <c r="X14" s="107">
        <v>1</v>
      </c>
      <c r="Y14" s="108">
        <v>1</v>
      </c>
      <c r="Z14" s="103">
        <v>2</v>
      </c>
      <c r="AA14" s="106">
        <v>4</v>
      </c>
      <c r="AC14" s="100">
        <v>50</v>
      </c>
      <c r="AD14" s="107">
        <v>1</v>
      </c>
      <c r="AE14" s="108">
        <v>1</v>
      </c>
      <c r="AF14" s="103">
        <f>AD14+AE14</f>
        <v>2</v>
      </c>
      <c r="AG14" s="107">
        <v>1</v>
      </c>
      <c r="AH14" s="108">
        <v>1</v>
      </c>
      <c r="AI14" s="103">
        <f>AG14+AH14</f>
        <v>2</v>
      </c>
      <c r="AJ14" s="106">
        <f t="shared" si="0"/>
        <v>4</v>
      </c>
    </row>
    <row r="15" spans="1:36" x14ac:dyDescent="0.2">
      <c r="A15" s="45" t="s">
        <v>68</v>
      </c>
      <c r="B15" s="158">
        <v>7</v>
      </c>
      <c r="C15" s="92">
        <v>9</v>
      </c>
      <c r="D15" s="91">
        <v>16</v>
      </c>
      <c r="E15" s="92">
        <v>13</v>
      </c>
      <c r="F15" s="92">
        <v>13</v>
      </c>
      <c r="G15" s="93">
        <v>26</v>
      </c>
      <c r="H15" s="46">
        <v>42</v>
      </c>
      <c r="I15" s="46"/>
      <c r="J15" s="86" t="s">
        <v>68</v>
      </c>
      <c r="K15" s="87">
        <f>K16+K19</f>
        <v>11</v>
      </c>
      <c r="L15" s="88">
        <f>L16+L19</f>
        <v>11</v>
      </c>
      <c r="M15" s="89">
        <f>K15+L15</f>
        <v>22</v>
      </c>
      <c r="N15" s="87">
        <f>N16+N19</f>
        <v>7</v>
      </c>
      <c r="O15" s="88">
        <f>O16+O19</f>
        <v>7</v>
      </c>
      <c r="P15" s="89">
        <f>N15+O15</f>
        <v>14</v>
      </c>
      <c r="Q15" s="90">
        <f>Q16+Q19</f>
        <v>36</v>
      </c>
      <c r="R15" s="46"/>
      <c r="T15" s="86" t="s">
        <v>68</v>
      </c>
      <c r="U15" s="87">
        <v>5</v>
      </c>
      <c r="V15" s="88">
        <v>7</v>
      </c>
      <c r="W15" s="89">
        <v>12</v>
      </c>
      <c r="X15" s="87">
        <v>4</v>
      </c>
      <c r="Y15" s="88">
        <v>3</v>
      </c>
      <c r="Z15" s="89">
        <v>7</v>
      </c>
      <c r="AA15" s="90">
        <v>19</v>
      </c>
      <c r="AC15" s="86" t="s">
        <v>68</v>
      </c>
      <c r="AD15" s="87">
        <f>AD16+AD19</f>
        <v>5</v>
      </c>
      <c r="AE15" s="88">
        <f>AE16+AE19</f>
        <v>7</v>
      </c>
      <c r="AF15" s="89">
        <f>AD15+AE15</f>
        <v>12</v>
      </c>
      <c r="AG15" s="87">
        <f>AG16+AG19</f>
        <v>5</v>
      </c>
      <c r="AH15" s="88">
        <f>AH16+AH19</f>
        <v>4</v>
      </c>
      <c r="AI15" s="89">
        <f>AG15+AH15</f>
        <v>9</v>
      </c>
      <c r="AJ15" s="90">
        <f t="shared" si="0"/>
        <v>21</v>
      </c>
    </row>
    <row r="16" spans="1:36" x14ac:dyDescent="0.2">
      <c r="A16" s="47" t="s">
        <v>74</v>
      </c>
      <c r="B16" s="158">
        <v>2</v>
      </c>
      <c r="C16" s="92">
        <v>3</v>
      </c>
      <c r="D16" s="91">
        <v>5</v>
      </c>
      <c r="E16" s="92">
        <v>8</v>
      </c>
      <c r="F16" s="92">
        <v>7</v>
      </c>
      <c r="G16" s="93">
        <v>15</v>
      </c>
      <c r="H16" s="46">
        <v>20</v>
      </c>
      <c r="I16" s="46"/>
      <c r="J16" s="94" t="s">
        <v>74</v>
      </c>
      <c r="K16" s="95">
        <v>6</v>
      </c>
      <c r="L16" s="96">
        <v>7</v>
      </c>
      <c r="M16" s="97">
        <f>M17+M18</f>
        <v>13</v>
      </c>
      <c r="N16" s="95">
        <f>N17+N18</f>
        <v>4</v>
      </c>
      <c r="O16" s="96">
        <f>O17+O18</f>
        <v>3</v>
      </c>
      <c r="P16" s="97">
        <f>P17+P18</f>
        <v>7</v>
      </c>
      <c r="Q16" s="99">
        <f>Q17+Q18</f>
        <v>20</v>
      </c>
      <c r="R16" s="46"/>
      <c r="T16" s="94" t="s">
        <v>74</v>
      </c>
      <c r="U16" s="95">
        <v>1</v>
      </c>
      <c r="V16" s="96">
        <v>3</v>
      </c>
      <c r="W16" s="97">
        <v>4</v>
      </c>
      <c r="X16" s="95">
        <v>3</v>
      </c>
      <c r="Y16" s="96">
        <v>1</v>
      </c>
      <c r="Z16" s="97">
        <v>4</v>
      </c>
      <c r="AA16" s="99">
        <v>8</v>
      </c>
      <c r="AC16" s="94" t="s">
        <v>74</v>
      </c>
      <c r="AD16" s="95">
        <f t="shared" ref="AD16:AI16" si="5">AD17+AD18</f>
        <v>1</v>
      </c>
      <c r="AE16" s="96">
        <f t="shared" si="5"/>
        <v>3</v>
      </c>
      <c r="AF16" s="97">
        <f t="shared" si="5"/>
        <v>4</v>
      </c>
      <c r="AG16" s="95">
        <f t="shared" si="5"/>
        <v>4</v>
      </c>
      <c r="AH16" s="96">
        <f t="shared" si="5"/>
        <v>2</v>
      </c>
      <c r="AI16" s="97">
        <f t="shared" si="5"/>
        <v>6</v>
      </c>
      <c r="AJ16" s="99">
        <f t="shared" si="0"/>
        <v>10</v>
      </c>
    </row>
    <row r="17" spans="1:36" x14ac:dyDescent="0.2">
      <c r="A17" s="53">
        <v>1</v>
      </c>
      <c r="B17" s="158">
        <v>1</v>
      </c>
      <c r="C17" s="92">
        <v>1</v>
      </c>
      <c r="D17" s="91">
        <v>2</v>
      </c>
      <c r="E17" s="92">
        <v>4</v>
      </c>
      <c r="F17" s="92">
        <v>4</v>
      </c>
      <c r="G17" s="93">
        <v>8</v>
      </c>
      <c r="H17" s="46">
        <v>10</v>
      </c>
      <c r="I17" s="46"/>
      <c r="J17" s="100">
        <v>1</v>
      </c>
      <c r="K17" s="162">
        <v>3</v>
      </c>
      <c r="L17" s="163">
        <v>4</v>
      </c>
      <c r="M17" s="103">
        <f>K17+L17</f>
        <v>7</v>
      </c>
      <c r="N17" s="174">
        <v>2</v>
      </c>
      <c r="O17" s="163">
        <v>1</v>
      </c>
      <c r="P17" s="103">
        <f>N17+O17</f>
        <v>3</v>
      </c>
      <c r="Q17" s="106">
        <f>M17+P17</f>
        <v>10</v>
      </c>
      <c r="R17" s="46"/>
      <c r="T17" s="100">
        <v>1</v>
      </c>
      <c r="U17" s="155">
        <v>0</v>
      </c>
      <c r="V17" s="108">
        <v>2</v>
      </c>
      <c r="W17" s="103">
        <v>2</v>
      </c>
      <c r="X17" s="107">
        <v>1</v>
      </c>
      <c r="Y17" s="108">
        <v>1</v>
      </c>
      <c r="Z17" s="103">
        <v>2</v>
      </c>
      <c r="AA17" s="106">
        <v>4</v>
      </c>
      <c r="AC17" s="100">
        <v>1</v>
      </c>
      <c r="AD17" s="155">
        <v>0</v>
      </c>
      <c r="AE17" s="108">
        <v>2</v>
      </c>
      <c r="AF17" s="103">
        <f>AD17+AE17</f>
        <v>2</v>
      </c>
      <c r="AG17" s="153">
        <v>2</v>
      </c>
      <c r="AH17" s="108">
        <v>1</v>
      </c>
      <c r="AI17" s="103">
        <f>AG17+AH17</f>
        <v>3</v>
      </c>
      <c r="AJ17" s="106">
        <f t="shared" si="0"/>
        <v>5</v>
      </c>
    </row>
    <row r="18" spans="1:36" x14ac:dyDescent="0.2">
      <c r="A18" s="53">
        <v>50</v>
      </c>
      <c r="B18" s="158">
        <v>1</v>
      </c>
      <c r="C18" s="92">
        <v>2</v>
      </c>
      <c r="D18" s="91">
        <v>3</v>
      </c>
      <c r="E18" s="92">
        <v>4</v>
      </c>
      <c r="F18" s="92">
        <v>3</v>
      </c>
      <c r="G18" s="93">
        <v>7</v>
      </c>
      <c r="H18" s="46">
        <v>10</v>
      </c>
      <c r="I18" s="46"/>
      <c r="J18" s="100">
        <v>50</v>
      </c>
      <c r="K18" s="162">
        <v>3</v>
      </c>
      <c r="L18" s="163">
        <v>3</v>
      </c>
      <c r="M18" s="103">
        <f>K18+L18</f>
        <v>6</v>
      </c>
      <c r="N18" s="162">
        <v>2</v>
      </c>
      <c r="O18" s="173">
        <v>2</v>
      </c>
      <c r="P18" s="103">
        <f>N18+O18</f>
        <v>4</v>
      </c>
      <c r="Q18" s="106">
        <f>M18+P18</f>
        <v>10</v>
      </c>
      <c r="R18" s="46"/>
      <c r="T18" s="100">
        <v>50</v>
      </c>
      <c r="U18" s="107">
        <v>1</v>
      </c>
      <c r="V18" s="108">
        <v>1</v>
      </c>
      <c r="W18" s="103">
        <v>2</v>
      </c>
      <c r="X18" s="107">
        <v>2</v>
      </c>
      <c r="Y18" s="132">
        <v>0</v>
      </c>
      <c r="Z18" s="103">
        <v>2</v>
      </c>
      <c r="AA18" s="106">
        <v>4</v>
      </c>
      <c r="AC18" s="100">
        <v>50</v>
      </c>
      <c r="AD18" s="107">
        <v>1</v>
      </c>
      <c r="AE18" s="108">
        <v>1</v>
      </c>
      <c r="AF18" s="103">
        <f>AD18+AE18</f>
        <v>2</v>
      </c>
      <c r="AG18" s="107">
        <v>2</v>
      </c>
      <c r="AH18" s="108">
        <v>1</v>
      </c>
      <c r="AI18" s="103">
        <f>AG18+AH18</f>
        <v>3</v>
      </c>
      <c r="AJ18" s="106">
        <f t="shared" si="0"/>
        <v>5</v>
      </c>
    </row>
    <row r="19" spans="1:36" x14ac:dyDescent="0.2">
      <c r="A19" s="47" t="s">
        <v>45</v>
      </c>
      <c r="B19" s="158">
        <v>5</v>
      </c>
      <c r="C19" s="92">
        <v>6</v>
      </c>
      <c r="D19" s="91">
        <v>11</v>
      </c>
      <c r="E19" s="92">
        <v>5</v>
      </c>
      <c r="F19" s="92">
        <v>6</v>
      </c>
      <c r="G19" s="93">
        <v>11</v>
      </c>
      <c r="H19" s="46">
        <v>22</v>
      </c>
      <c r="I19" s="46"/>
      <c r="J19" s="94" t="s">
        <v>45</v>
      </c>
      <c r="K19" s="95">
        <f t="shared" ref="K19:Q19" si="6">K20+K21</f>
        <v>5</v>
      </c>
      <c r="L19" s="96">
        <f t="shared" si="6"/>
        <v>4</v>
      </c>
      <c r="M19" s="97">
        <f t="shared" si="6"/>
        <v>9</v>
      </c>
      <c r="N19" s="95">
        <f t="shared" si="6"/>
        <v>3</v>
      </c>
      <c r="O19" s="96">
        <f t="shared" si="6"/>
        <v>4</v>
      </c>
      <c r="P19" s="97">
        <f t="shared" si="6"/>
        <v>7</v>
      </c>
      <c r="Q19" s="99">
        <f t="shared" si="6"/>
        <v>16</v>
      </c>
      <c r="R19" s="46"/>
      <c r="T19" s="94" t="s">
        <v>45</v>
      </c>
      <c r="U19" s="95">
        <v>4</v>
      </c>
      <c r="V19" s="96">
        <v>4</v>
      </c>
      <c r="W19" s="97">
        <v>8</v>
      </c>
      <c r="X19" s="95">
        <v>1</v>
      </c>
      <c r="Y19" s="98">
        <v>2</v>
      </c>
      <c r="Z19" s="97">
        <v>3</v>
      </c>
      <c r="AA19" s="99">
        <v>11</v>
      </c>
      <c r="AC19" s="94" t="s">
        <v>45</v>
      </c>
      <c r="AD19" s="95">
        <f t="shared" ref="AD19:AI19" si="7">AD20+AD21</f>
        <v>4</v>
      </c>
      <c r="AE19" s="96">
        <f t="shared" si="7"/>
        <v>4</v>
      </c>
      <c r="AF19" s="97">
        <f t="shared" si="7"/>
        <v>8</v>
      </c>
      <c r="AG19" s="95">
        <f t="shared" si="7"/>
        <v>1</v>
      </c>
      <c r="AH19" s="98">
        <f t="shared" si="7"/>
        <v>2</v>
      </c>
      <c r="AI19" s="97">
        <f t="shared" si="7"/>
        <v>3</v>
      </c>
      <c r="AJ19" s="99">
        <f t="shared" si="0"/>
        <v>11</v>
      </c>
    </row>
    <row r="20" spans="1:36" x14ac:dyDescent="0.2">
      <c r="A20" s="53">
        <v>1</v>
      </c>
      <c r="B20" s="158">
        <v>2</v>
      </c>
      <c r="C20" s="92">
        <v>3</v>
      </c>
      <c r="D20" s="91">
        <v>5</v>
      </c>
      <c r="E20" s="92">
        <v>2</v>
      </c>
      <c r="F20" s="92">
        <v>1</v>
      </c>
      <c r="G20" s="93">
        <v>3</v>
      </c>
      <c r="H20" s="46">
        <v>8</v>
      </c>
      <c r="I20" s="46"/>
      <c r="J20" s="100">
        <v>1</v>
      </c>
      <c r="K20" s="162">
        <v>3</v>
      </c>
      <c r="L20" s="163">
        <v>2</v>
      </c>
      <c r="M20" s="103">
        <f>K20+L20</f>
        <v>5</v>
      </c>
      <c r="N20" s="162">
        <v>2</v>
      </c>
      <c r="O20" s="163">
        <v>3</v>
      </c>
      <c r="P20" s="103">
        <f>N20+O20</f>
        <v>5</v>
      </c>
      <c r="Q20" s="106">
        <f>M20+P20</f>
        <v>10</v>
      </c>
      <c r="R20" s="46"/>
      <c r="T20" s="100">
        <v>1</v>
      </c>
      <c r="U20" s="107">
        <v>2</v>
      </c>
      <c r="V20" s="108">
        <v>2</v>
      </c>
      <c r="W20" s="103">
        <v>4</v>
      </c>
      <c r="X20" s="155">
        <v>0</v>
      </c>
      <c r="Y20" s="108">
        <v>1</v>
      </c>
      <c r="Z20" s="103">
        <v>1</v>
      </c>
      <c r="AA20" s="106">
        <v>5</v>
      </c>
      <c r="AC20" s="100">
        <v>1</v>
      </c>
      <c r="AD20" s="107">
        <v>2</v>
      </c>
      <c r="AE20" s="108">
        <v>2</v>
      </c>
      <c r="AF20" s="103">
        <f>AD20+AE20</f>
        <v>4</v>
      </c>
      <c r="AG20" s="156">
        <v>0</v>
      </c>
      <c r="AH20" s="152">
        <v>1</v>
      </c>
      <c r="AI20" s="103">
        <f>AG20+AH20</f>
        <v>1</v>
      </c>
      <c r="AJ20" s="106">
        <f t="shared" si="0"/>
        <v>5</v>
      </c>
    </row>
    <row r="21" spans="1:36" x14ac:dyDescent="0.2">
      <c r="A21" s="53">
        <v>50</v>
      </c>
      <c r="B21" s="158">
        <v>3</v>
      </c>
      <c r="C21" s="92">
        <v>3</v>
      </c>
      <c r="D21" s="91">
        <v>6</v>
      </c>
      <c r="E21" s="92">
        <v>3</v>
      </c>
      <c r="F21" s="92">
        <v>5</v>
      </c>
      <c r="G21" s="93">
        <v>8</v>
      </c>
      <c r="H21" s="46">
        <v>14</v>
      </c>
      <c r="I21" s="46"/>
      <c r="J21" s="100">
        <v>50</v>
      </c>
      <c r="K21" s="162">
        <v>2</v>
      </c>
      <c r="L21" s="163">
        <v>2</v>
      </c>
      <c r="M21" s="103">
        <f>K21+L21</f>
        <v>4</v>
      </c>
      <c r="N21" s="162">
        <v>1</v>
      </c>
      <c r="O21" s="163">
        <v>1</v>
      </c>
      <c r="P21" s="103">
        <f>N21+O21</f>
        <v>2</v>
      </c>
      <c r="Q21" s="106">
        <f>M21+P21</f>
        <v>6</v>
      </c>
      <c r="R21" s="46"/>
      <c r="T21" s="100">
        <v>50</v>
      </c>
      <c r="U21" s="107">
        <v>2</v>
      </c>
      <c r="V21" s="108">
        <v>2</v>
      </c>
      <c r="W21" s="103">
        <v>4</v>
      </c>
      <c r="X21" s="107">
        <v>1</v>
      </c>
      <c r="Y21" s="108">
        <v>1</v>
      </c>
      <c r="Z21" s="103">
        <v>2</v>
      </c>
      <c r="AA21" s="106">
        <v>6</v>
      </c>
      <c r="AC21" s="100">
        <v>50</v>
      </c>
      <c r="AD21" s="107">
        <v>2</v>
      </c>
      <c r="AE21" s="108">
        <v>2</v>
      </c>
      <c r="AF21" s="103">
        <f>AD21+AE21</f>
        <v>4</v>
      </c>
      <c r="AG21" s="107">
        <v>1</v>
      </c>
      <c r="AH21" s="151">
        <v>1</v>
      </c>
      <c r="AI21" s="103">
        <f>AG21+AH21</f>
        <v>2</v>
      </c>
      <c r="AJ21" s="106">
        <f t="shared" si="0"/>
        <v>6</v>
      </c>
    </row>
    <row r="22" spans="1:36" x14ac:dyDescent="0.2">
      <c r="A22" s="45" t="s">
        <v>44</v>
      </c>
      <c r="B22" s="158">
        <v>17</v>
      </c>
      <c r="C22" s="92">
        <v>14</v>
      </c>
      <c r="D22" s="91">
        <v>31</v>
      </c>
      <c r="E22" s="92">
        <v>5</v>
      </c>
      <c r="F22" s="92">
        <v>8</v>
      </c>
      <c r="G22" s="93">
        <v>13</v>
      </c>
      <c r="H22" s="46">
        <v>44</v>
      </c>
      <c r="I22" s="46"/>
      <c r="J22" s="86" t="s">
        <v>44</v>
      </c>
      <c r="K22" s="87">
        <f>K23+K26</f>
        <v>8</v>
      </c>
      <c r="L22" s="88">
        <f>L23+L26</f>
        <v>6</v>
      </c>
      <c r="M22" s="89">
        <f>K22+L22</f>
        <v>14</v>
      </c>
      <c r="N22" s="87">
        <f>N23+N26</f>
        <v>12</v>
      </c>
      <c r="O22" s="88">
        <f>O23+O26</f>
        <v>11</v>
      </c>
      <c r="P22" s="89">
        <f>N22+O22</f>
        <v>23</v>
      </c>
      <c r="Q22" s="90">
        <f>Q23+Q26</f>
        <v>37</v>
      </c>
      <c r="R22" s="46"/>
      <c r="T22" s="86" t="s">
        <v>44</v>
      </c>
      <c r="U22" s="87">
        <v>4</v>
      </c>
      <c r="V22" s="88">
        <v>2</v>
      </c>
      <c r="W22" s="89">
        <v>6</v>
      </c>
      <c r="X22" s="87">
        <v>4</v>
      </c>
      <c r="Y22" s="88">
        <v>5</v>
      </c>
      <c r="Z22" s="89">
        <v>9</v>
      </c>
      <c r="AA22" s="90">
        <v>15</v>
      </c>
      <c r="AC22" s="86" t="s">
        <v>44</v>
      </c>
      <c r="AD22" s="87">
        <f>AD23+AD26</f>
        <v>4</v>
      </c>
      <c r="AE22" s="88">
        <f>AE23+AE26</f>
        <v>5</v>
      </c>
      <c r="AF22" s="89">
        <f>AD22+AE22</f>
        <v>9</v>
      </c>
      <c r="AG22" s="87">
        <f>AG23+AG26</f>
        <v>5</v>
      </c>
      <c r="AH22" s="88">
        <f>AH23+AH26</f>
        <v>6</v>
      </c>
      <c r="AI22" s="89">
        <f>AG22+AH22</f>
        <v>11</v>
      </c>
      <c r="AJ22" s="90">
        <f t="shared" si="0"/>
        <v>20</v>
      </c>
    </row>
    <row r="23" spans="1:36" x14ac:dyDescent="0.2">
      <c r="A23" s="47" t="s">
        <v>74</v>
      </c>
      <c r="B23" s="158">
        <v>15</v>
      </c>
      <c r="C23" s="92">
        <v>5</v>
      </c>
      <c r="D23" s="91">
        <v>20</v>
      </c>
      <c r="E23" s="92">
        <v>2</v>
      </c>
      <c r="F23" s="92">
        <v>6</v>
      </c>
      <c r="G23" s="93">
        <v>8</v>
      </c>
      <c r="H23" s="46">
        <v>28</v>
      </c>
      <c r="I23" s="46"/>
      <c r="J23" s="94" t="s">
        <v>74</v>
      </c>
      <c r="K23" s="95">
        <f t="shared" ref="K23:Q23" si="8">K24+K25</f>
        <v>2</v>
      </c>
      <c r="L23" s="96">
        <f t="shared" si="8"/>
        <v>2</v>
      </c>
      <c r="M23" s="97">
        <f t="shared" si="8"/>
        <v>4</v>
      </c>
      <c r="N23" s="95">
        <f t="shared" si="8"/>
        <v>5</v>
      </c>
      <c r="O23" s="96">
        <f t="shared" si="8"/>
        <v>3</v>
      </c>
      <c r="P23" s="97">
        <f t="shared" si="8"/>
        <v>8</v>
      </c>
      <c r="Q23" s="99">
        <f t="shared" si="8"/>
        <v>12</v>
      </c>
      <c r="R23" s="46"/>
      <c r="T23" s="94" t="s">
        <v>74</v>
      </c>
      <c r="U23" s="95">
        <v>0</v>
      </c>
      <c r="V23" s="96">
        <v>1</v>
      </c>
      <c r="W23" s="97">
        <v>1</v>
      </c>
      <c r="X23" s="95">
        <v>0</v>
      </c>
      <c r="Y23" s="96">
        <v>1</v>
      </c>
      <c r="Z23" s="97">
        <v>1</v>
      </c>
      <c r="AA23" s="99">
        <v>2</v>
      </c>
      <c r="AC23" s="94" t="s">
        <v>74</v>
      </c>
      <c r="AD23" s="95">
        <f t="shared" ref="AD23:AI23" si="9">AD24+AD25</f>
        <v>0</v>
      </c>
      <c r="AE23" s="96">
        <f t="shared" si="9"/>
        <v>1</v>
      </c>
      <c r="AF23" s="97">
        <f t="shared" si="9"/>
        <v>1</v>
      </c>
      <c r="AG23" s="95">
        <f t="shared" si="9"/>
        <v>1</v>
      </c>
      <c r="AH23" s="96">
        <f t="shared" si="9"/>
        <v>2</v>
      </c>
      <c r="AI23" s="97">
        <f t="shared" si="9"/>
        <v>3</v>
      </c>
      <c r="AJ23" s="99">
        <f t="shared" si="0"/>
        <v>4</v>
      </c>
    </row>
    <row r="24" spans="1:36" x14ac:dyDescent="0.2">
      <c r="A24" s="53">
        <v>1</v>
      </c>
      <c r="B24" s="158">
        <v>1</v>
      </c>
      <c r="C24" s="92">
        <v>3</v>
      </c>
      <c r="D24" s="91">
        <v>4</v>
      </c>
      <c r="E24" s="92">
        <v>1</v>
      </c>
      <c r="F24" s="92">
        <v>4</v>
      </c>
      <c r="G24" s="93">
        <v>5</v>
      </c>
      <c r="H24" s="46">
        <v>9</v>
      </c>
      <c r="I24" s="46"/>
      <c r="J24" s="100">
        <v>1</v>
      </c>
      <c r="K24" s="162">
        <v>2</v>
      </c>
      <c r="L24" s="163">
        <v>1</v>
      </c>
      <c r="M24" s="103">
        <f>K24+L24</f>
        <v>3</v>
      </c>
      <c r="N24" s="162">
        <v>2</v>
      </c>
      <c r="O24" s="163">
        <v>1</v>
      </c>
      <c r="P24" s="103">
        <f>N24+O24</f>
        <v>3</v>
      </c>
      <c r="Q24" s="106">
        <f>M24+P24</f>
        <v>6</v>
      </c>
      <c r="R24" s="46"/>
      <c r="T24" s="100">
        <v>1</v>
      </c>
      <c r="U24" s="155">
        <v>0</v>
      </c>
      <c r="V24" s="108">
        <v>1</v>
      </c>
      <c r="W24" s="103">
        <v>1</v>
      </c>
      <c r="X24" s="155">
        <v>0</v>
      </c>
      <c r="Y24" s="108">
        <v>1</v>
      </c>
      <c r="Z24" s="103">
        <v>1</v>
      </c>
      <c r="AA24" s="106">
        <v>2</v>
      </c>
      <c r="AC24" s="100">
        <v>1</v>
      </c>
      <c r="AD24" s="155">
        <v>0</v>
      </c>
      <c r="AE24" s="108">
        <v>1</v>
      </c>
      <c r="AF24" s="103">
        <f>AD24+AE24</f>
        <v>1</v>
      </c>
      <c r="AG24" s="156">
        <v>0</v>
      </c>
      <c r="AH24" s="108">
        <v>1</v>
      </c>
      <c r="AI24" s="103">
        <f>AG24+AH24</f>
        <v>1</v>
      </c>
      <c r="AJ24" s="106">
        <f t="shared" si="0"/>
        <v>2</v>
      </c>
    </row>
    <row r="25" spans="1:36" x14ac:dyDescent="0.2">
      <c r="A25" s="53">
        <v>50</v>
      </c>
      <c r="B25" s="158">
        <v>14</v>
      </c>
      <c r="C25" s="92">
        <v>2</v>
      </c>
      <c r="D25" s="91">
        <v>16</v>
      </c>
      <c r="E25" s="92">
        <v>1</v>
      </c>
      <c r="F25" s="92">
        <v>2</v>
      </c>
      <c r="G25" s="93">
        <v>3</v>
      </c>
      <c r="H25" s="46">
        <v>19</v>
      </c>
      <c r="I25" s="46"/>
      <c r="J25" s="100">
        <v>50</v>
      </c>
      <c r="K25" s="162">
        <v>0</v>
      </c>
      <c r="L25" s="163">
        <v>1</v>
      </c>
      <c r="M25" s="103">
        <f>K25+L25</f>
        <v>1</v>
      </c>
      <c r="N25" s="107">
        <v>3</v>
      </c>
      <c r="O25" s="108">
        <v>2</v>
      </c>
      <c r="P25" s="103">
        <f>N25+O25</f>
        <v>5</v>
      </c>
      <c r="Q25" s="106">
        <f>M25+P25</f>
        <v>6</v>
      </c>
      <c r="R25" s="46"/>
      <c r="T25" s="100">
        <v>50</v>
      </c>
      <c r="U25" s="101">
        <v>0</v>
      </c>
      <c r="V25" s="132">
        <v>0</v>
      </c>
      <c r="W25" s="103">
        <v>0</v>
      </c>
      <c r="X25" s="155">
        <v>0</v>
      </c>
      <c r="Y25" s="132">
        <v>0</v>
      </c>
      <c r="Z25" s="103">
        <v>0</v>
      </c>
      <c r="AA25" s="106">
        <v>0</v>
      </c>
      <c r="AC25" s="100">
        <v>50</v>
      </c>
      <c r="AD25" s="155">
        <v>0</v>
      </c>
      <c r="AE25" s="132">
        <v>0</v>
      </c>
      <c r="AF25" s="103">
        <f>AD25+AE25</f>
        <v>0</v>
      </c>
      <c r="AG25" s="107">
        <v>1</v>
      </c>
      <c r="AH25" s="108">
        <v>1</v>
      </c>
      <c r="AI25" s="103">
        <f>AG25+AH25</f>
        <v>2</v>
      </c>
      <c r="AJ25" s="106">
        <f t="shared" si="0"/>
        <v>2</v>
      </c>
    </row>
    <row r="26" spans="1:36" x14ac:dyDescent="0.2">
      <c r="A26" s="47" t="s">
        <v>45</v>
      </c>
      <c r="B26" s="158">
        <v>2</v>
      </c>
      <c r="C26" s="92">
        <v>9</v>
      </c>
      <c r="D26" s="91">
        <v>11</v>
      </c>
      <c r="E26" s="92">
        <v>3</v>
      </c>
      <c r="F26" s="92">
        <v>2</v>
      </c>
      <c r="G26" s="93">
        <v>5</v>
      </c>
      <c r="H26" s="46">
        <v>16</v>
      </c>
      <c r="I26" s="46"/>
      <c r="J26" s="94" t="s">
        <v>45</v>
      </c>
      <c r="K26" s="95">
        <f t="shared" ref="K26:Q26" si="10">K27+K28</f>
        <v>6</v>
      </c>
      <c r="L26" s="96">
        <f t="shared" si="10"/>
        <v>4</v>
      </c>
      <c r="M26" s="97">
        <f t="shared" si="10"/>
        <v>10</v>
      </c>
      <c r="N26" s="95">
        <f t="shared" si="10"/>
        <v>7</v>
      </c>
      <c r="O26" s="96">
        <f t="shared" si="10"/>
        <v>8</v>
      </c>
      <c r="P26" s="97">
        <f t="shared" si="10"/>
        <v>15</v>
      </c>
      <c r="Q26" s="99">
        <f t="shared" si="10"/>
        <v>25</v>
      </c>
      <c r="R26" s="46"/>
      <c r="T26" s="94" t="s">
        <v>45</v>
      </c>
      <c r="U26" s="95">
        <v>4</v>
      </c>
      <c r="V26" s="96">
        <v>1</v>
      </c>
      <c r="W26" s="97">
        <v>5</v>
      </c>
      <c r="X26" s="95">
        <v>4</v>
      </c>
      <c r="Y26" s="96">
        <v>4</v>
      </c>
      <c r="Z26" s="97">
        <v>8</v>
      </c>
      <c r="AA26" s="99">
        <v>13</v>
      </c>
      <c r="AC26" s="94" t="s">
        <v>45</v>
      </c>
      <c r="AD26" s="95">
        <f t="shared" ref="AD26:AI26" si="11">AD27+AD28</f>
        <v>4</v>
      </c>
      <c r="AE26" s="96">
        <f t="shared" si="11"/>
        <v>4</v>
      </c>
      <c r="AF26" s="97">
        <f t="shared" si="11"/>
        <v>8</v>
      </c>
      <c r="AG26" s="95">
        <f t="shared" si="11"/>
        <v>4</v>
      </c>
      <c r="AH26" s="96">
        <f t="shared" si="11"/>
        <v>4</v>
      </c>
      <c r="AI26" s="97">
        <f t="shared" si="11"/>
        <v>8</v>
      </c>
      <c r="AJ26" s="99">
        <f t="shared" si="0"/>
        <v>16</v>
      </c>
    </row>
    <row r="27" spans="1:36" x14ac:dyDescent="0.2">
      <c r="A27" s="53">
        <v>1</v>
      </c>
      <c r="B27" s="158">
        <v>1</v>
      </c>
      <c r="C27" s="92">
        <v>6</v>
      </c>
      <c r="D27" s="91">
        <v>7</v>
      </c>
      <c r="E27" s="92">
        <v>1</v>
      </c>
      <c r="F27" s="92">
        <v>1</v>
      </c>
      <c r="G27" s="93">
        <v>2</v>
      </c>
      <c r="H27" s="46">
        <v>9</v>
      </c>
      <c r="I27" s="46"/>
      <c r="J27" s="100">
        <v>1</v>
      </c>
      <c r="K27" s="162">
        <v>3</v>
      </c>
      <c r="L27" s="173">
        <v>2</v>
      </c>
      <c r="M27" s="103">
        <f>K27+L27</f>
        <v>5</v>
      </c>
      <c r="N27" s="162">
        <v>4</v>
      </c>
      <c r="O27" s="163">
        <v>4</v>
      </c>
      <c r="P27" s="103">
        <f>N27+O27</f>
        <v>8</v>
      </c>
      <c r="Q27" s="106">
        <f>M27+P27</f>
        <v>13</v>
      </c>
      <c r="R27" s="46"/>
      <c r="T27" s="100">
        <v>1</v>
      </c>
      <c r="U27" s="107">
        <v>1</v>
      </c>
      <c r="V27" s="102">
        <v>0</v>
      </c>
      <c r="W27" s="103">
        <v>1</v>
      </c>
      <c r="X27" s="107">
        <v>2</v>
      </c>
      <c r="Y27" s="108">
        <v>2</v>
      </c>
      <c r="Z27" s="103">
        <v>4</v>
      </c>
      <c r="AA27" s="106">
        <v>5</v>
      </c>
      <c r="AC27" s="100">
        <v>1</v>
      </c>
      <c r="AD27" s="107">
        <v>1</v>
      </c>
      <c r="AE27" s="108">
        <v>2</v>
      </c>
      <c r="AF27" s="103">
        <f>AD27+AE27</f>
        <v>3</v>
      </c>
      <c r="AG27" s="153">
        <v>2</v>
      </c>
      <c r="AH27" s="108">
        <v>2</v>
      </c>
      <c r="AI27" s="103">
        <f>AG27+AH27</f>
        <v>4</v>
      </c>
      <c r="AJ27" s="106">
        <f t="shared" si="0"/>
        <v>7</v>
      </c>
    </row>
    <row r="28" spans="1:36" x14ac:dyDescent="0.2">
      <c r="A28" s="53">
        <v>50</v>
      </c>
      <c r="B28" s="158">
        <v>1</v>
      </c>
      <c r="C28" s="92">
        <v>3</v>
      </c>
      <c r="D28" s="91">
        <v>4</v>
      </c>
      <c r="E28" s="92">
        <v>2</v>
      </c>
      <c r="F28" s="92">
        <v>1</v>
      </c>
      <c r="G28" s="93">
        <v>3</v>
      </c>
      <c r="H28" s="46">
        <v>7</v>
      </c>
      <c r="I28" s="46"/>
      <c r="J28" s="100">
        <v>50</v>
      </c>
      <c r="K28" s="162">
        <v>3</v>
      </c>
      <c r="L28" s="173">
        <v>2</v>
      </c>
      <c r="M28" s="103">
        <f>K28+L28</f>
        <v>5</v>
      </c>
      <c r="N28" s="162">
        <v>3</v>
      </c>
      <c r="O28" s="163">
        <v>4</v>
      </c>
      <c r="P28" s="103">
        <f>N28+O28</f>
        <v>7</v>
      </c>
      <c r="Q28" s="106">
        <f>M28+P28</f>
        <v>12</v>
      </c>
      <c r="R28" s="46"/>
      <c r="T28" s="100">
        <v>50</v>
      </c>
      <c r="U28" s="107">
        <v>3</v>
      </c>
      <c r="V28" s="108">
        <v>1</v>
      </c>
      <c r="W28" s="103">
        <v>4</v>
      </c>
      <c r="X28" s="107">
        <v>2</v>
      </c>
      <c r="Y28" s="108">
        <v>2</v>
      </c>
      <c r="Z28" s="103">
        <v>4</v>
      </c>
      <c r="AA28" s="106">
        <v>8</v>
      </c>
      <c r="AC28" s="100">
        <v>50</v>
      </c>
      <c r="AD28" s="107">
        <v>3</v>
      </c>
      <c r="AE28" s="108">
        <v>2</v>
      </c>
      <c r="AF28" s="103">
        <f>AD28+AE28</f>
        <v>5</v>
      </c>
      <c r="AG28" s="107">
        <v>2</v>
      </c>
      <c r="AH28" s="108">
        <v>2</v>
      </c>
      <c r="AI28" s="103">
        <f>AG28+AH28</f>
        <v>4</v>
      </c>
      <c r="AJ28" s="106">
        <f t="shared" si="0"/>
        <v>9</v>
      </c>
    </row>
    <row r="29" spans="1:36" x14ac:dyDescent="0.2">
      <c r="A29" s="45" t="s">
        <v>60</v>
      </c>
      <c r="B29" s="158">
        <v>12</v>
      </c>
      <c r="C29" s="92">
        <v>6</v>
      </c>
      <c r="D29" s="91">
        <v>18</v>
      </c>
      <c r="E29" s="92">
        <v>7</v>
      </c>
      <c r="F29" s="92">
        <v>18</v>
      </c>
      <c r="G29" s="93">
        <v>25</v>
      </c>
      <c r="H29" s="46">
        <v>43</v>
      </c>
      <c r="I29" s="46"/>
      <c r="J29" s="86" t="s">
        <v>60</v>
      </c>
      <c r="K29" s="87">
        <f>K30+K33</f>
        <v>8</v>
      </c>
      <c r="L29" s="88">
        <f>L30+L33</f>
        <v>12</v>
      </c>
      <c r="M29" s="89">
        <f>K29+L29</f>
        <v>20</v>
      </c>
      <c r="N29" s="87">
        <f>N30+N33</f>
        <v>9</v>
      </c>
      <c r="O29" s="88">
        <f>O30+O33</f>
        <v>5</v>
      </c>
      <c r="P29" s="89">
        <f>N29+O29</f>
        <v>14</v>
      </c>
      <c r="Q29" s="90">
        <f>Q30+Q33</f>
        <v>34</v>
      </c>
      <c r="R29" s="46"/>
      <c r="T29" s="86" t="s">
        <v>60</v>
      </c>
      <c r="U29" s="87">
        <v>5</v>
      </c>
      <c r="V29" s="88">
        <v>5</v>
      </c>
      <c r="W29" s="89">
        <v>10</v>
      </c>
      <c r="X29" s="87">
        <v>3</v>
      </c>
      <c r="Y29" s="88">
        <v>3</v>
      </c>
      <c r="Z29" s="89">
        <v>6</v>
      </c>
      <c r="AA29" s="90">
        <v>16</v>
      </c>
      <c r="AC29" s="86" t="s">
        <v>60</v>
      </c>
      <c r="AD29" s="87">
        <f>AD30+AD33</f>
        <v>7</v>
      </c>
      <c r="AE29" s="88">
        <f>AE30+AE33</f>
        <v>5</v>
      </c>
      <c r="AF29" s="89">
        <f>AD29+AE29</f>
        <v>12</v>
      </c>
      <c r="AG29" s="87">
        <f>AG30+AG33</f>
        <v>3</v>
      </c>
      <c r="AH29" s="88">
        <f>AH30+AH33</f>
        <v>3</v>
      </c>
      <c r="AI29" s="89">
        <f>AG29+AH29</f>
        <v>6</v>
      </c>
      <c r="AJ29" s="90">
        <f t="shared" si="0"/>
        <v>18</v>
      </c>
    </row>
    <row r="30" spans="1:36" x14ac:dyDescent="0.2">
      <c r="A30" s="47" t="s">
        <v>74</v>
      </c>
      <c r="B30" s="158">
        <v>6</v>
      </c>
      <c r="C30" s="92">
        <v>4</v>
      </c>
      <c r="D30" s="91">
        <v>10</v>
      </c>
      <c r="E30" s="92">
        <v>3</v>
      </c>
      <c r="F30" s="92">
        <v>5</v>
      </c>
      <c r="G30" s="93">
        <v>8</v>
      </c>
      <c r="H30" s="46">
        <v>18</v>
      </c>
      <c r="I30" s="46"/>
      <c r="J30" s="94" t="s">
        <v>74</v>
      </c>
      <c r="K30" s="95">
        <f t="shared" ref="K30:Q30" si="12">K31+K32</f>
        <v>4</v>
      </c>
      <c r="L30" s="96">
        <f t="shared" si="12"/>
        <v>6</v>
      </c>
      <c r="M30" s="97">
        <f t="shared" si="12"/>
        <v>10</v>
      </c>
      <c r="N30" s="95">
        <f t="shared" si="12"/>
        <v>5</v>
      </c>
      <c r="O30" s="96">
        <f t="shared" si="12"/>
        <v>4</v>
      </c>
      <c r="P30" s="97">
        <f t="shared" si="12"/>
        <v>9</v>
      </c>
      <c r="Q30" s="99">
        <f t="shared" si="12"/>
        <v>19</v>
      </c>
      <c r="R30" s="46"/>
      <c r="T30" s="94" t="s">
        <v>74</v>
      </c>
      <c r="U30" s="95">
        <v>3</v>
      </c>
      <c r="V30" s="96">
        <v>3</v>
      </c>
      <c r="W30" s="97">
        <v>6</v>
      </c>
      <c r="X30" s="95">
        <v>1</v>
      </c>
      <c r="Y30" s="96">
        <v>2</v>
      </c>
      <c r="Z30" s="97">
        <v>3</v>
      </c>
      <c r="AA30" s="99">
        <v>9</v>
      </c>
      <c r="AC30" s="94" t="s">
        <v>74</v>
      </c>
      <c r="AD30" s="95">
        <f t="shared" ref="AD30:AI30" si="13">AD31+AD32</f>
        <v>3</v>
      </c>
      <c r="AE30" s="96">
        <f t="shared" si="13"/>
        <v>3</v>
      </c>
      <c r="AF30" s="97">
        <f t="shared" si="13"/>
        <v>6</v>
      </c>
      <c r="AG30" s="95">
        <f t="shared" si="13"/>
        <v>1</v>
      </c>
      <c r="AH30" s="96">
        <f t="shared" si="13"/>
        <v>2</v>
      </c>
      <c r="AI30" s="97">
        <f t="shared" si="13"/>
        <v>3</v>
      </c>
      <c r="AJ30" s="99">
        <f t="shared" si="0"/>
        <v>9</v>
      </c>
    </row>
    <row r="31" spans="1:36" x14ac:dyDescent="0.2">
      <c r="A31" s="53">
        <v>1</v>
      </c>
      <c r="B31" s="158">
        <v>3</v>
      </c>
      <c r="C31" s="92">
        <v>1</v>
      </c>
      <c r="D31" s="91">
        <v>4</v>
      </c>
      <c r="E31" s="92">
        <v>2</v>
      </c>
      <c r="F31" s="92">
        <v>4</v>
      </c>
      <c r="G31" s="93">
        <v>6</v>
      </c>
      <c r="H31" s="46">
        <v>10</v>
      </c>
      <c r="I31" s="46"/>
      <c r="J31" s="100">
        <v>1</v>
      </c>
      <c r="K31" s="162">
        <v>2</v>
      </c>
      <c r="L31" s="163">
        <v>4</v>
      </c>
      <c r="M31" s="103">
        <f>K31+L31</f>
        <v>6</v>
      </c>
      <c r="N31" s="162">
        <v>2</v>
      </c>
      <c r="O31" s="163">
        <v>1</v>
      </c>
      <c r="P31" s="103">
        <f>N31+O31</f>
        <v>3</v>
      </c>
      <c r="Q31" s="106">
        <f>M31+P31</f>
        <v>9</v>
      </c>
      <c r="R31" s="46"/>
      <c r="T31" s="100">
        <v>1</v>
      </c>
      <c r="U31" s="107">
        <v>2</v>
      </c>
      <c r="V31" s="108">
        <v>1</v>
      </c>
      <c r="W31" s="103">
        <v>3</v>
      </c>
      <c r="X31" s="155">
        <v>0</v>
      </c>
      <c r="Y31" s="108">
        <v>1</v>
      </c>
      <c r="Z31" s="103">
        <v>1</v>
      </c>
      <c r="AA31" s="106">
        <v>4</v>
      </c>
      <c r="AC31" s="100">
        <v>1</v>
      </c>
      <c r="AD31" s="107">
        <v>2</v>
      </c>
      <c r="AE31" s="108">
        <v>1</v>
      </c>
      <c r="AF31" s="103">
        <f>AD31+AE31</f>
        <v>3</v>
      </c>
      <c r="AG31" s="156">
        <v>0</v>
      </c>
      <c r="AH31" s="108">
        <v>1</v>
      </c>
      <c r="AI31" s="103">
        <f>AG31+AH31</f>
        <v>1</v>
      </c>
      <c r="AJ31" s="106">
        <f t="shared" si="0"/>
        <v>4</v>
      </c>
    </row>
    <row r="32" spans="1:36" x14ac:dyDescent="0.2">
      <c r="A32" s="53">
        <v>50</v>
      </c>
      <c r="B32" s="158">
        <v>3</v>
      </c>
      <c r="C32" s="92">
        <v>3</v>
      </c>
      <c r="D32" s="91">
        <v>6</v>
      </c>
      <c r="E32" s="92">
        <v>1</v>
      </c>
      <c r="F32" s="92">
        <v>1</v>
      </c>
      <c r="G32" s="93">
        <v>2</v>
      </c>
      <c r="H32" s="46">
        <v>8</v>
      </c>
      <c r="I32" s="46"/>
      <c r="J32" s="100">
        <v>50</v>
      </c>
      <c r="K32" s="162">
        <v>2</v>
      </c>
      <c r="L32" s="163">
        <v>2</v>
      </c>
      <c r="M32" s="103">
        <f>K32+L32</f>
        <v>4</v>
      </c>
      <c r="N32" s="162">
        <v>3</v>
      </c>
      <c r="O32" s="163">
        <v>3</v>
      </c>
      <c r="P32" s="103">
        <f>N32+O32</f>
        <v>6</v>
      </c>
      <c r="Q32" s="106">
        <f>M32+P32</f>
        <v>10</v>
      </c>
      <c r="R32" s="46"/>
      <c r="T32" s="100">
        <v>50</v>
      </c>
      <c r="U32" s="107">
        <v>1</v>
      </c>
      <c r="V32" s="108">
        <v>2</v>
      </c>
      <c r="W32" s="103">
        <v>3</v>
      </c>
      <c r="X32" s="107">
        <v>1</v>
      </c>
      <c r="Y32" s="108">
        <v>1</v>
      </c>
      <c r="Z32" s="103">
        <v>2</v>
      </c>
      <c r="AA32" s="106">
        <v>5</v>
      </c>
      <c r="AC32" s="100">
        <v>50</v>
      </c>
      <c r="AD32" s="107">
        <v>1</v>
      </c>
      <c r="AE32" s="108">
        <v>2</v>
      </c>
      <c r="AF32" s="103">
        <f>AD32+AE32</f>
        <v>3</v>
      </c>
      <c r="AG32" s="107">
        <v>1</v>
      </c>
      <c r="AH32" s="108">
        <v>1</v>
      </c>
      <c r="AI32" s="103">
        <f>AG32+AH32</f>
        <v>2</v>
      </c>
      <c r="AJ32" s="106">
        <f t="shared" si="0"/>
        <v>5</v>
      </c>
    </row>
    <row r="33" spans="1:36" x14ac:dyDescent="0.2">
      <c r="A33" s="47" t="s">
        <v>45</v>
      </c>
      <c r="B33" s="158">
        <v>6</v>
      </c>
      <c r="C33" s="92">
        <v>2</v>
      </c>
      <c r="D33" s="91">
        <v>8</v>
      </c>
      <c r="E33" s="92">
        <v>4</v>
      </c>
      <c r="F33" s="92">
        <v>13</v>
      </c>
      <c r="G33" s="93">
        <v>17</v>
      </c>
      <c r="H33" s="46">
        <v>25</v>
      </c>
      <c r="I33" s="46"/>
      <c r="J33" s="94" t="s">
        <v>45</v>
      </c>
      <c r="K33" s="95">
        <f t="shared" ref="K33:Q33" si="14">K34+K35</f>
        <v>4</v>
      </c>
      <c r="L33" s="96">
        <f t="shared" si="14"/>
        <v>6</v>
      </c>
      <c r="M33" s="97">
        <f t="shared" si="14"/>
        <v>10</v>
      </c>
      <c r="N33" s="95">
        <f t="shared" si="14"/>
        <v>4</v>
      </c>
      <c r="O33" s="96">
        <f t="shared" si="14"/>
        <v>1</v>
      </c>
      <c r="P33" s="97">
        <f t="shared" si="14"/>
        <v>5</v>
      </c>
      <c r="Q33" s="99">
        <f t="shared" si="14"/>
        <v>15</v>
      </c>
      <c r="R33" s="46"/>
      <c r="T33" s="94" t="s">
        <v>45</v>
      </c>
      <c r="U33" s="95">
        <v>2</v>
      </c>
      <c r="V33" s="96">
        <v>2</v>
      </c>
      <c r="W33" s="97">
        <v>4</v>
      </c>
      <c r="X33" s="95">
        <v>2</v>
      </c>
      <c r="Y33" s="96">
        <v>1</v>
      </c>
      <c r="Z33" s="97">
        <v>3</v>
      </c>
      <c r="AA33" s="99">
        <v>7</v>
      </c>
      <c r="AC33" s="94" t="s">
        <v>45</v>
      </c>
      <c r="AD33" s="95">
        <f t="shared" ref="AD33:AI33" si="15">AD34+AD35</f>
        <v>4</v>
      </c>
      <c r="AE33" s="96">
        <f t="shared" si="15"/>
        <v>2</v>
      </c>
      <c r="AF33" s="97">
        <f t="shared" si="15"/>
        <v>6</v>
      </c>
      <c r="AG33" s="95">
        <f t="shared" si="15"/>
        <v>2</v>
      </c>
      <c r="AH33" s="96">
        <f t="shared" si="15"/>
        <v>1</v>
      </c>
      <c r="AI33" s="97">
        <f t="shared" si="15"/>
        <v>3</v>
      </c>
      <c r="AJ33" s="99">
        <f t="shared" si="0"/>
        <v>9</v>
      </c>
    </row>
    <row r="34" spans="1:36" x14ac:dyDescent="0.2">
      <c r="A34" s="53">
        <v>1</v>
      </c>
      <c r="B34" s="158">
        <v>3</v>
      </c>
      <c r="C34" s="92">
        <v>1</v>
      </c>
      <c r="D34" s="91">
        <v>4</v>
      </c>
      <c r="E34" s="92">
        <v>2</v>
      </c>
      <c r="F34" s="92">
        <v>9</v>
      </c>
      <c r="G34" s="93">
        <v>11</v>
      </c>
      <c r="H34" s="46">
        <v>15</v>
      </c>
      <c r="I34" s="46"/>
      <c r="J34" s="100">
        <v>1</v>
      </c>
      <c r="K34" s="107">
        <v>2</v>
      </c>
      <c r="L34" s="163">
        <v>3</v>
      </c>
      <c r="M34" s="103">
        <f>K34+L34</f>
        <v>5</v>
      </c>
      <c r="N34" s="162">
        <v>2</v>
      </c>
      <c r="O34" s="163">
        <v>0</v>
      </c>
      <c r="P34" s="103">
        <f>N34+O34</f>
        <v>2</v>
      </c>
      <c r="Q34" s="106">
        <f>M34+P34</f>
        <v>7</v>
      </c>
      <c r="R34" s="46"/>
      <c r="T34" s="100">
        <v>1</v>
      </c>
      <c r="U34" s="107">
        <v>1</v>
      </c>
      <c r="V34" s="108">
        <v>1</v>
      </c>
      <c r="W34" s="103">
        <v>2</v>
      </c>
      <c r="X34" s="107">
        <v>1</v>
      </c>
      <c r="Y34" s="102">
        <v>0</v>
      </c>
      <c r="Z34" s="103">
        <v>1</v>
      </c>
      <c r="AA34" s="106">
        <v>3</v>
      </c>
      <c r="AC34" s="100">
        <v>1</v>
      </c>
      <c r="AD34" s="107">
        <v>2</v>
      </c>
      <c r="AE34" s="108">
        <v>1</v>
      </c>
      <c r="AF34" s="103">
        <f>AD34+AE34</f>
        <v>3</v>
      </c>
      <c r="AG34" s="153">
        <v>1</v>
      </c>
      <c r="AH34" s="132">
        <v>0</v>
      </c>
      <c r="AI34" s="103">
        <f>AG34+AH34</f>
        <v>1</v>
      </c>
      <c r="AJ34" s="106">
        <f t="shared" si="0"/>
        <v>4</v>
      </c>
    </row>
    <row r="35" spans="1:36" x14ac:dyDescent="0.2">
      <c r="A35" s="53">
        <v>50</v>
      </c>
      <c r="B35" s="158">
        <v>3</v>
      </c>
      <c r="C35" s="92">
        <v>1</v>
      </c>
      <c r="D35" s="91">
        <v>4</v>
      </c>
      <c r="E35" s="92">
        <v>2</v>
      </c>
      <c r="F35" s="92">
        <v>4</v>
      </c>
      <c r="G35" s="93">
        <v>6</v>
      </c>
      <c r="H35" s="46">
        <v>10</v>
      </c>
      <c r="I35" s="46"/>
      <c r="J35" s="100">
        <v>50</v>
      </c>
      <c r="K35" s="107">
        <v>2</v>
      </c>
      <c r="L35" s="163">
        <v>3</v>
      </c>
      <c r="M35" s="103">
        <f>K35+L35</f>
        <v>5</v>
      </c>
      <c r="N35" s="162">
        <v>2</v>
      </c>
      <c r="O35" s="163">
        <v>1</v>
      </c>
      <c r="P35" s="103">
        <f>N35+O35</f>
        <v>3</v>
      </c>
      <c r="Q35" s="106">
        <f>M35+P35</f>
        <v>8</v>
      </c>
      <c r="R35" s="46"/>
      <c r="T35" s="100">
        <v>50</v>
      </c>
      <c r="U35" s="107">
        <v>1</v>
      </c>
      <c r="V35" s="108">
        <v>1</v>
      </c>
      <c r="W35" s="103">
        <v>2</v>
      </c>
      <c r="X35" s="107">
        <v>1</v>
      </c>
      <c r="Y35" s="108">
        <v>1</v>
      </c>
      <c r="Z35" s="103">
        <v>2</v>
      </c>
      <c r="AA35" s="106">
        <v>4</v>
      </c>
      <c r="AC35" s="100">
        <v>50</v>
      </c>
      <c r="AD35" s="107">
        <v>2</v>
      </c>
      <c r="AE35" s="108">
        <v>1</v>
      </c>
      <c r="AF35" s="103">
        <f>AD35+AE35</f>
        <v>3</v>
      </c>
      <c r="AG35" s="107">
        <v>1</v>
      </c>
      <c r="AH35" s="108">
        <v>1</v>
      </c>
      <c r="AI35" s="103">
        <f>AG35+AH35</f>
        <v>2</v>
      </c>
      <c r="AJ35" s="106">
        <f t="shared" si="0"/>
        <v>5</v>
      </c>
    </row>
    <row r="36" spans="1:36" x14ac:dyDescent="0.2">
      <c r="A36" s="45" t="s">
        <v>64</v>
      </c>
      <c r="B36" s="158">
        <v>12</v>
      </c>
      <c r="C36" s="92">
        <v>6</v>
      </c>
      <c r="D36" s="91">
        <v>18</v>
      </c>
      <c r="E36" s="92">
        <v>11</v>
      </c>
      <c r="F36" s="92">
        <v>12</v>
      </c>
      <c r="G36" s="93">
        <v>23</v>
      </c>
      <c r="H36" s="46">
        <v>41</v>
      </c>
      <c r="I36" s="46"/>
      <c r="J36" s="86" t="s">
        <v>64</v>
      </c>
      <c r="K36" s="87">
        <f>K37+K40</f>
        <v>10</v>
      </c>
      <c r="L36" s="88">
        <f>L37+L40</f>
        <v>12</v>
      </c>
      <c r="M36" s="89">
        <f>K36+L36</f>
        <v>22</v>
      </c>
      <c r="N36" s="87">
        <f>N37+N40</f>
        <v>9</v>
      </c>
      <c r="O36" s="88">
        <f>O37+O40</f>
        <v>7</v>
      </c>
      <c r="P36" s="89">
        <f>N36+O36</f>
        <v>16</v>
      </c>
      <c r="Q36" s="90">
        <f>Q37+Q40</f>
        <v>38</v>
      </c>
      <c r="R36" s="46"/>
      <c r="T36" s="86" t="s">
        <v>64</v>
      </c>
      <c r="U36" s="87">
        <v>2</v>
      </c>
      <c r="V36" s="88">
        <v>6</v>
      </c>
      <c r="W36" s="89">
        <v>8</v>
      </c>
      <c r="X36" s="87">
        <v>6</v>
      </c>
      <c r="Y36" s="88">
        <v>4</v>
      </c>
      <c r="Z36" s="89">
        <v>10</v>
      </c>
      <c r="AA36" s="90">
        <v>18</v>
      </c>
      <c r="AC36" s="86" t="s">
        <v>64</v>
      </c>
      <c r="AD36" s="87">
        <f>AD37+AD40</f>
        <v>4</v>
      </c>
      <c r="AE36" s="88">
        <f>AE37+AE40</f>
        <v>6</v>
      </c>
      <c r="AF36" s="89">
        <f>AD36+AE36</f>
        <v>10</v>
      </c>
      <c r="AG36" s="87">
        <f>AG37+AG40</f>
        <v>6</v>
      </c>
      <c r="AH36" s="88">
        <f>AH37+AH40</f>
        <v>4</v>
      </c>
      <c r="AI36" s="89">
        <f>AG36+AH36</f>
        <v>10</v>
      </c>
      <c r="AJ36" s="90">
        <f t="shared" si="0"/>
        <v>20</v>
      </c>
    </row>
    <row r="37" spans="1:36" x14ac:dyDescent="0.2">
      <c r="A37" s="47" t="s">
        <v>74</v>
      </c>
      <c r="B37" s="158">
        <v>2</v>
      </c>
      <c r="C37" s="92">
        <v>2</v>
      </c>
      <c r="D37" s="91">
        <v>4</v>
      </c>
      <c r="E37" s="92">
        <v>7</v>
      </c>
      <c r="F37" s="92">
        <v>6</v>
      </c>
      <c r="G37" s="93">
        <v>13</v>
      </c>
      <c r="H37" s="46">
        <v>17</v>
      </c>
      <c r="I37" s="46"/>
      <c r="J37" s="94" t="s">
        <v>74</v>
      </c>
      <c r="K37" s="95">
        <f>K38+K39</f>
        <v>6</v>
      </c>
      <c r="L37" s="96">
        <f>L38+L39</f>
        <v>8</v>
      </c>
      <c r="M37" s="97">
        <v>14</v>
      </c>
      <c r="N37" s="95">
        <f>N38+N39</f>
        <v>3</v>
      </c>
      <c r="O37" s="96">
        <f>O38+O39</f>
        <v>4</v>
      </c>
      <c r="P37" s="97">
        <f>P38+P39</f>
        <v>7</v>
      </c>
      <c r="Q37" s="99">
        <f>Q38+Q39</f>
        <v>21</v>
      </c>
      <c r="R37" s="46"/>
      <c r="T37" s="94" t="s">
        <v>74</v>
      </c>
      <c r="U37" s="95">
        <v>2</v>
      </c>
      <c r="V37" s="96">
        <v>4</v>
      </c>
      <c r="W37" s="97">
        <v>6</v>
      </c>
      <c r="X37" s="95">
        <v>3</v>
      </c>
      <c r="Y37" s="96">
        <v>3</v>
      </c>
      <c r="Z37" s="97">
        <v>6</v>
      </c>
      <c r="AA37" s="99">
        <v>12</v>
      </c>
      <c r="AC37" s="94" t="s">
        <v>74</v>
      </c>
      <c r="AD37" s="95">
        <f t="shared" ref="AD37:AI37" si="16">AD38+AD39</f>
        <v>2</v>
      </c>
      <c r="AE37" s="96">
        <f t="shared" si="16"/>
        <v>4</v>
      </c>
      <c r="AF37" s="97">
        <f t="shared" si="16"/>
        <v>6</v>
      </c>
      <c r="AG37" s="95">
        <f t="shared" si="16"/>
        <v>3</v>
      </c>
      <c r="AH37" s="96">
        <f t="shared" si="16"/>
        <v>3</v>
      </c>
      <c r="AI37" s="97">
        <f t="shared" si="16"/>
        <v>6</v>
      </c>
      <c r="AJ37" s="99">
        <f t="shared" si="0"/>
        <v>12</v>
      </c>
    </row>
    <row r="38" spans="1:36" x14ac:dyDescent="0.2">
      <c r="A38" s="53">
        <v>1</v>
      </c>
      <c r="B38" s="158">
        <v>1</v>
      </c>
      <c r="C38" s="92">
        <v>1</v>
      </c>
      <c r="D38" s="91">
        <v>2</v>
      </c>
      <c r="E38" s="92">
        <v>4</v>
      </c>
      <c r="F38" s="92">
        <v>3</v>
      </c>
      <c r="G38" s="93">
        <v>7</v>
      </c>
      <c r="H38" s="46">
        <v>9</v>
      </c>
      <c r="I38" s="46"/>
      <c r="J38" s="100">
        <v>1</v>
      </c>
      <c r="K38" s="162">
        <v>3</v>
      </c>
      <c r="L38" s="163">
        <v>4</v>
      </c>
      <c r="M38" s="103">
        <f>K38+L38</f>
        <v>7</v>
      </c>
      <c r="N38" s="162">
        <v>1</v>
      </c>
      <c r="O38" s="163">
        <v>2</v>
      </c>
      <c r="P38" s="103">
        <f>N38+O38</f>
        <v>3</v>
      </c>
      <c r="Q38" s="106">
        <f>M38+P38</f>
        <v>10</v>
      </c>
      <c r="R38" s="46"/>
      <c r="T38" s="100">
        <v>1</v>
      </c>
      <c r="U38" s="107">
        <v>1</v>
      </c>
      <c r="V38" s="108">
        <v>2</v>
      </c>
      <c r="W38" s="103">
        <v>3</v>
      </c>
      <c r="X38" s="107">
        <v>1</v>
      </c>
      <c r="Y38" s="108">
        <v>2</v>
      </c>
      <c r="Z38" s="103">
        <v>3</v>
      </c>
      <c r="AA38" s="106">
        <v>6</v>
      </c>
      <c r="AC38" s="100">
        <v>1</v>
      </c>
      <c r="AD38" s="107">
        <v>1</v>
      </c>
      <c r="AE38" s="108">
        <v>2</v>
      </c>
      <c r="AF38" s="103">
        <f>AD38+AE38</f>
        <v>3</v>
      </c>
      <c r="AG38" s="153">
        <v>1</v>
      </c>
      <c r="AH38" s="108">
        <v>2</v>
      </c>
      <c r="AI38" s="103">
        <f>AG38+AH38</f>
        <v>3</v>
      </c>
      <c r="AJ38" s="106">
        <f t="shared" si="0"/>
        <v>6</v>
      </c>
    </row>
    <row r="39" spans="1:36" x14ac:dyDescent="0.2">
      <c r="A39" s="53">
        <v>50</v>
      </c>
      <c r="B39" s="158">
        <v>1</v>
      </c>
      <c r="C39" s="92">
        <v>1</v>
      </c>
      <c r="D39" s="91">
        <v>2</v>
      </c>
      <c r="E39" s="92">
        <v>3</v>
      </c>
      <c r="F39" s="92">
        <v>3</v>
      </c>
      <c r="G39" s="93">
        <v>6</v>
      </c>
      <c r="H39" s="46">
        <v>8</v>
      </c>
      <c r="I39" s="46"/>
      <c r="J39" s="100">
        <v>50</v>
      </c>
      <c r="K39" s="162">
        <v>3</v>
      </c>
      <c r="L39" s="163">
        <v>4</v>
      </c>
      <c r="M39" s="103">
        <f>K39+L39</f>
        <v>7</v>
      </c>
      <c r="N39" s="162">
        <v>2</v>
      </c>
      <c r="O39" s="163">
        <v>2</v>
      </c>
      <c r="P39" s="103">
        <f>N39+O39</f>
        <v>4</v>
      </c>
      <c r="Q39" s="106">
        <f>M39+P39</f>
        <v>11</v>
      </c>
      <c r="R39" s="46"/>
      <c r="T39" s="100">
        <v>50</v>
      </c>
      <c r="U39" s="107">
        <v>1</v>
      </c>
      <c r="V39" s="108">
        <v>2</v>
      </c>
      <c r="W39" s="103">
        <v>3</v>
      </c>
      <c r="X39" s="107">
        <v>2</v>
      </c>
      <c r="Y39" s="108">
        <v>1</v>
      </c>
      <c r="Z39" s="103">
        <v>3</v>
      </c>
      <c r="AA39" s="106">
        <v>6</v>
      </c>
      <c r="AC39" s="100">
        <v>50</v>
      </c>
      <c r="AD39" s="107">
        <v>1</v>
      </c>
      <c r="AE39" s="108">
        <v>2</v>
      </c>
      <c r="AF39" s="103">
        <f>AD39+AE39</f>
        <v>3</v>
      </c>
      <c r="AG39" s="107">
        <v>2</v>
      </c>
      <c r="AH39" s="108">
        <v>1</v>
      </c>
      <c r="AI39" s="103">
        <f>AG39+AH39</f>
        <v>3</v>
      </c>
      <c r="AJ39" s="106">
        <f t="shared" si="0"/>
        <v>6</v>
      </c>
    </row>
    <row r="40" spans="1:36" x14ac:dyDescent="0.2">
      <c r="A40" s="47" t="s">
        <v>45</v>
      </c>
      <c r="B40" s="158">
        <v>10</v>
      </c>
      <c r="C40" s="92">
        <v>4</v>
      </c>
      <c r="D40" s="91">
        <v>14</v>
      </c>
      <c r="E40" s="92">
        <v>4</v>
      </c>
      <c r="F40" s="92">
        <v>6</v>
      </c>
      <c r="G40" s="93">
        <v>10</v>
      </c>
      <c r="H40" s="46">
        <v>24</v>
      </c>
      <c r="I40" s="46"/>
      <c r="J40" s="94" t="s">
        <v>45</v>
      </c>
      <c r="K40" s="95">
        <f>K41+K42</f>
        <v>4</v>
      </c>
      <c r="L40" s="96">
        <f>L41+L42</f>
        <v>4</v>
      </c>
      <c r="M40" s="97">
        <v>6</v>
      </c>
      <c r="N40" s="95">
        <f>N41+N42</f>
        <v>6</v>
      </c>
      <c r="O40" s="96">
        <f>O41+O42</f>
        <v>3</v>
      </c>
      <c r="P40" s="97">
        <f>P41+P42</f>
        <v>9</v>
      </c>
      <c r="Q40" s="99">
        <f>Q41+Q42</f>
        <v>17</v>
      </c>
      <c r="R40" s="46"/>
      <c r="T40" s="94" t="s">
        <v>45</v>
      </c>
      <c r="U40" s="95">
        <v>0</v>
      </c>
      <c r="V40" s="96">
        <v>2</v>
      </c>
      <c r="W40" s="97">
        <v>2</v>
      </c>
      <c r="X40" s="95">
        <v>3</v>
      </c>
      <c r="Y40" s="96">
        <v>1</v>
      </c>
      <c r="Z40" s="97">
        <v>4</v>
      </c>
      <c r="AA40" s="99">
        <v>6</v>
      </c>
      <c r="AC40" s="94" t="s">
        <v>45</v>
      </c>
      <c r="AD40" s="95">
        <f t="shared" ref="AD40:AI40" si="17">AD41+AD42</f>
        <v>2</v>
      </c>
      <c r="AE40" s="96">
        <f t="shared" si="17"/>
        <v>2</v>
      </c>
      <c r="AF40" s="97">
        <f t="shared" si="17"/>
        <v>4</v>
      </c>
      <c r="AG40" s="95">
        <f t="shared" si="17"/>
        <v>3</v>
      </c>
      <c r="AH40" s="96">
        <f t="shared" si="17"/>
        <v>1</v>
      </c>
      <c r="AI40" s="97">
        <f t="shared" si="17"/>
        <v>4</v>
      </c>
      <c r="AJ40" s="99">
        <f t="shared" si="0"/>
        <v>8</v>
      </c>
    </row>
    <row r="41" spans="1:36" x14ac:dyDescent="0.2">
      <c r="A41" s="53">
        <v>1</v>
      </c>
      <c r="B41" s="158">
        <v>9</v>
      </c>
      <c r="C41" s="92">
        <v>2</v>
      </c>
      <c r="D41" s="91">
        <v>11</v>
      </c>
      <c r="E41" s="92">
        <v>1</v>
      </c>
      <c r="F41" s="92">
        <v>4</v>
      </c>
      <c r="G41" s="93">
        <v>5</v>
      </c>
      <c r="H41" s="46">
        <v>16</v>
      </c>
      <c r="I41" s="46"/>
      <c r="J41" s="100">
        <v>1</v>
      </c>
      <c r="K41" s="107">
        <v>1</v>
      </c>
      <c r="L41" s="163">
        <v>2</v>
      </c>
      <c r="M41" s="103">
        <f>K41+L41</f>
        <v>3</v>
      </c>
      <c r="N41" s="162">
        <v>4</v>
      </c>
      <c r="O41" s="163">
        <v>1</v>
      </c>
      <c r="P41" s="103">
        <f>N41+O41</f>
        <v>5</v>
      </c>
      <c r="Q41" s="106">
        <f>M41+P41</f>
        <v>8</v>
      </c>
      <c r="R41" s="46"/>
      <c r="T41" s="100">
        <v>1</v>
      </c>
      <c r="U41" s="101">
        <v>0</v>
      </c>
      <c r="V41" s="108">
        <v>1</v>
      </c>
      <c r="W41" s="103">
        <v>1</v>
      </c>
      <c r="X41" s="107">
        <v>1</v>
      </c>
      <c r="Y41" s="108">
        <v>1</v>
      </c>
      <c r="Z41" s="103">
        <v>2</v>
      </c>
      <c r="AA41" s="106">
        <v>3</v>
      </c>
      <c r="AC41" s="100">
        <v>1</v>
      </c>
      <c r="AD41" s="107">
        <v>1</v>
      </c>
      <c r="AE41" s="108">
        <v>1</v>
      </c>
      <c r="AF41" s="103">
        <f>AD41+AE41</f>
        <v>2</v>
      </c>
      <c r="AG41" s="153">
        <v>1</v>
      </c>
      <c r="AH41" s="108">
        <v>1</v>
      </c>
      <c r="AI41" s="103">
        <f>AG41+AH41</f>
        <v>2</v>
      </c>
      <c r="AJ41" s="106">
        <f t="shared" si="0"/>
        <v>4</v>
      </c>
    </row>
    <row r="42" spans="1:36" x14ac:dyDescent="0.2">
      <c r="A42" s="53">
        <v>50</v>
      </c>
      <c r="B42" s="158">
        <v>1</v>
      </c>
      <c r="C42" s="92">
        <v>2</v>
      </c>
      <c r="D42" s="91">
        <v>3</v>
      </c>
      <c r="E42" s="92">
        <v>3</v>
      </c>
      <c r="F42" s="92">
        <v>2</v>
      </c>
      <c r="G42" s="93">
        <v>5</v>
      </c>
      <c r="H42" s="46">
        <v>8</v>
      </c>
      <c r="I42" s="46"/>
      <c r="J42" s="100">
        <v>50</v>
      </c>
      <c r="K42" s="107">
        <v>3</v>
      </c>
      <c r="L42" s="163">
        <v>2</v>
      </c>
      <c r="M42" s="103">
        <f>K42+L42</f>
        <v>5</v>
      </c>
      <c r="N42" s="162">
        <v>2</v>
      </c>
      <c r="O42" s="163">
        <v>2</v>
      </c>
      <c r="P42" s="103">
        <f>N42+O42</f>
        <v>4</v>
      </c>
      <c r="Q42" s="106">
        <f>M42+P42</f>
        <v>9</v>
      </c>
      <c r="R42" s="46"/>
      <c r="T42" s="100">
        <v>50</v>
      </c>
      <c r="U42" s="155">
        <v>0</v>
      </c>
      <c r="V42" s="108">
        <v>1</v>
      </c>
      <c r="W42" s="103">
        <v>1</v>
      </c>
      <c r="X42" s="107">
        <v>2</v>
      </c>
      <c r="Y42" s="132">
        <v>0</v>
      </c>
      <c r="Z42" s="103">
        <v>2</v>
      </c>
      <c r="AA42" s="106">
        <v>3</v>
      </c>
      <c r="AC42" s="100">
        <v>50</v>
      </c>
      <c r="AD42" s="107">
        <v>1</v>
      </c>
      <c r="AE42" s="108">
        <v>1</v>
      </c>
      <c r="AF42" s="103">
        <f>AD42+AE42</f>
        <v>2</v>
      </c>
      <c r="AG42" s="107">
        <v>2</v>
      </c>
      <c r="AH42" s="132">
        <v>0</v>
      </c>
      <c r="AI42" s="103">
        <f>AG42+AH42</f>
        <v>2</v>
      </c>
      <c r="AJ42" s="106">
        <f t="shared" si="0"/>
        <v>4</v>
      </c>
    </row>
    <row r="43" spans="1:36" x14ac:dyDescent="0.2">
      <c r="A43" s="45" t="s">
        <v>70</v>
      </c>
      <c r="B43" s="158">
        <v>9</v>
      </c>
      <c r="C43" s="92">
        <v>10</v>
      </c>
      <c r="D43" s="91">
        <v>19</v>
      </c>
      <c r="E43" s="92">
        <v>9</v>
      </c>
      <c r="F43" s="92">
        <v>12</v>
      </c>
      <c r="G43" s="93">
        <v>21</v>
      </c>
      <c r="H43" s="46">
        <v>40</v>
      </c>
      <c r="I43" s="46"/>
      <c r="J43" s="86" t="s">
        <v>70</v>
      </c>
      <c r="K43" s="87">
        <f>K44+K47</f>
        <v>9</v>
      </c>
      <c r="L43" s="88">
        <f>L44+L47</f>
        <v>11</v>
      </c>
      <c r="M43" s="89">
        <f>K43+L43</f>
        <v>20</v>
      </c>
      <c r="N43" s="87">
        <f>N44+N47</f>
        <v>11</v>
      </c>
      <c r="O43" s="88">
        <f>O44+O47</f>
        <v>9</v>
      </c>
      <c r="P43" s="89">
        <f>N43+O43</f>
        <v>20</v>
      </c>
      <c r="Q43" s="90">
        <f>Q44+Q47</f>
        <v>40</v>
      </c>
      <c r="R43" s="46"/>
      <c r="T43" s="86" t="s">
        <v>70</v>
      </c>
      <c r="U43" s="87">
        <v>2</v>
      </c>
      <c r="V43" s="88">
        <v>5</v>
      </c>
      <c r="W43" s="89">
        <v>7</v>
      </c>
      <c r="X43" s="87">
        <v>5</v>
      </c>
      <c r="Y43" s="88">
        <v>3</v>
      </c>
      <c r="Z43" s="89">
        <v>8</v>
      </c>
      <c r="AA43" s="90">
        <v>15</v>
      </c>
      <c r="AC43" s="86" t="s">
        <v>70</v>
      </c>
      <c r="AD43" s="87">
        <f>AD44+AD47</f>
        <v>2</v>
      </c>
      <c r="AE43" s="88">
        <f>AE44+AE47</f>
        <v>6</v>
      </c>
      <c r="AF43" s="89">
        <f>AD43+AE43</f>
        <v>8</v>
      </c>
      <c r="AG43" s="87">
        <f>AG44+AG47</f>
        <v>5</v>
      </c>
      <c r="AH43" s="88">
        <f>AH44+AH47</f>
        <v>6</v>
      </c>
      <c r="AI43" s="89">
        <f>AG43+AH43</f>
        <v>11</v>
      </c>
      <c r="AJ43" s="90">
        <f t="shared" si="0"/>
        <v>19</v>
      </c>
    </row>
    <row r="44" spans="1:36" x14ac:dyDescent="0.2">
      <c r="A44" s="47" t="s">
        <v>74</v>
      </c>
      <c r="B44" s="158">
        <v>4</v>
      </c>
      <c r="C44" s="92">
        <v>3</v>
      </c>
      <c r="D44" s="91">
        <v>7</v>
      </c>
      <c r="E44" s="92">
        <v>6</v>
      </c>
      <c r="F44" s="92">
        <v>7</v>
      </c>
      <c r="G44" s="93">
        <v>13</v>
      </c>
      <c r="H44" s="46">
        <v>20</v>
      </c>
      <c r="I44" s="46"/>
      <c r="J44" s="94" t="s">
        <v>74</v>
      </c>
      <c r="K44" s="95">
        <f t="shared" ref="K44:Q44" si="18">K45+K46</f>
        <v>5</v>
      </c>
      <c r="L44" s="96">
        <f t="shared" si="18"/>
        <v>7</v>
      </c>
      <c r="M44" s="97">
        <f t="shared" si="18"/>
        <v>12</v>
      </c>
      <c r="N44" s="95">
        <f t="shared" si="18"/>
        <v>4</v>
      </c>
      <c r="O44" s="96">
        <f t="shared" si="18"/>
        <v>5</v>
      </c>
      <c r="P44" s="97">
        <f t="shared" si="18"/>
        <v>9</v>
      </c>
      <c r="Q44" s="99">
        <f t="shared" si="18"/>
        <v>21</v>
      </c>
      <c r="R44" s="46"/>
      <c r="T44" s="94" t="s">
        <v>74</v>
      </c>
      <c r="U44" s="95">
        <v>1</v>
      </c>
      <c r="V44" s="96">
        <v>4</v>
      </c>
      <c r="W44" s="97">
        <v>5</v>
      </c>
      <c r="X44" s="95">
        <v>2</v>
      </c>
      <c r="Y44" s="96">
        <v>2</v>
      </c>
      <c r="Z44" s="97">
        <v>4</v>
      </c>
      <c r="AA44" s="99">
        <v>9</v>
      </c>
      <c r="AC44" s="94" t="s">
        <v>74</v>
      </c>
      <c r="AD44" s="95">
        <f t="shared" ref="AD44:AI44" si="19">AD45+AD46</f>
        <v>1</v>
      </c>
      <c r="AE44" s="96">
        <f t="shared" si="19"/>
        <v>4</v>
      </c>
      <c r="AF44" s="97">
        <f t="shared" si="19"/>
        <v>5</v>
      </c>
      <c r="AG44" s="95">
        <f t="shared" si="19"/>
        <v>2</v>
      </c>
      <c r="AH44" s="96">
        <f t="shared" si="19"/>
        <v>5</v>
      </c>
      <c r="AI44" s="97">
        <f t="shared" si="19"/>
        <v>7</v>
      </c>
      <c r="AJ44" s="99">
        <f t="shared" si="0"/>
        <v>12</v>
      </c>
    </row>
    <row r="45" spans="1:36" x14ac:dyDescent="0.2">
      <c r="A45" s="53">
        <v>1</v>
      </c>
      <c r="B45" s="158">
        <v>2</v>
      </c>
      <c r="C45" s="92">
        <v>1</v>
      </c>
      <c r="D45" s="91">
        <v>3</v>
      </c>
      <c r="E45" s="92">
        <v>3</v>
      </c>
      <c r="F45" s="92">
        <v>4</v>
      </c>
      <c r="G45" s="93">
        <v>7</v>
      </c>
      <c r="H45" s="46">
        <v>10</v>
      </c>
      <c r="I45" s="46"/>
      <c r="J45" s="100">
        <v>1</v>
      </c>
      <c r="K45" s="162">
        <v>3</v>
      </c>
      <c r="L45" s="163">
        <v>4</v>
      </c>
      <c r="M45" s="103">
        <f>K45+L45</f>
        <v>7</v>
      </c>
      <c r="N45" s="162">
        <v>2</v>
      </c>
      <c r="O45" s="108">
        <v>2</v>
      </c>
      <c r="P45" s="103">
        <f>N45+O45</f>
        <v>4</v>
      </c>
      <c r="Q45" s="106">
        <f>M45+P45</f>
        <v>11</v>
      </c>
      <c r="R45" s="46"/>
      <c r="T45" s="100">
        <v>1</v>
      </c>
      <c r="U45" s="107">
        <v>1</v>
      </c>
      <c r="V45" s="108">
        <v>2</v>
      </c>
      <c r="W45" s="103">
        <v>3</v>
      </c>
      <c r="X45" s="107">
        <v>1</v>
      </c>
      <c r="Y45" s="108">
        <v>1</v>
      </c>
      <c r="Z45" s="103">
        <v>2</v>
      </c>
      <c r="AA45" s="106">
        <v>5</v>
      </c>
      <c r="AC45" s="100">
        <v>1</v>
      </c>
      <c r="AD45" s="107">
        <v>1</v>
      </c>
      <c r="AE45" s="108">
        <v>2</v>
      </c>
      <c r="AF45" s="103">
        <f>AD45+AE45</f>
        <v>3</v>
      </c>
      <c r="AG45" s="153">
        <v>1</v>
      </c>
      <c r="AH45" s="108">
        <v>2</v>
      </c>
      <c r="AI45" s="103">
        <f>AG45+AH45</f>
        <v>3</v>
      </c>
      <c r="AJ45" s="106">
        <f t="shared" si="0"/>
        <v>6</v>
      </c>
    </row>
    <row r="46" spans="1:36" x14ac:dyDescent="0.2">
      <c r="A46" s="53">
        <v>50</v>
      </c>
      <c r="B46" s="158">
        <v>2</v>
      </c>
      <c r="C46" s="92">
        <v>2</v>
      </c>
      <c r="D46" s="91">
        <v>4</v>
      </c>
      <c r="E46" s="92">
        <v>3</v>
      </c>
      <c r="F46" s="92">
        <v>3</v>
      </c>
      <c r="G46" s="93">
        <v>6</v>
      </c>
      <c r="H46" s="46">
        <v>10</v>
      </c>
      <c r="I46" s="46"/>
      <c r="J46" s="100">
        <v>50</v>
      </c>
      <c r="K46" s="162">
        <v>2</v>
      </c>
      <c r="L46" s="163">
        <v>3</v>
      </c>
      <c r="M46" s="103">
        <f>K46+L46</f>
        <v>5</v>
      </c>
      <c r="N46" s="162">
        <v>2</v>
      </c>
      <c r="O46" s="108">
        <v>3</v>
      </c>
      <c r="P46" s="103">
        <f>N46+O46</f>
        <v>5</v>
      </c>
      <c r="Q46" s="106">
        <f>M46+P46</f>
        <v>10</v>
      </c>
      <c r="R46" s="46"/>
      <c r="T46" s="100">
        <v>50</v>
      </c>
      <c r="U46" s="155">
        <v>0</v>
      </c>
      <c r="V46" s="108">
        <v>2</v>
      </c>
      <c r="W46" s="103">
        <v>2</v>
      </c>
      <c r="X46" s="107">
        <v>1</v>
      </c>
      <c r="Y46" s="108">
        <v>1</v>
      </c>
      <c r="Z46" s="103">
        <v>2</v>
      </c>
      <c r="AA46" s="106">
        <v>4</v>
      </c>
      <c r="AC46" s="100">
        <v>50</v>
      </c>
      <c r="AD46" s="155">
        <v>0</v>
      </c>
      <c r="AE46" s="108">
        <v>2</v>
      </c>
      <c r="AF46" s="103">
        <f>AD46+AE46</f>
        <v>2</v>
      </c>
      <c r="AG46" s="107">
        <v>1</v>
      </c>
      <c r="AH46" s="108">
        <v>3</v>
      </c>
      <c r="AI46" s="103">
        <f>AG46+AH46</f>
        <v>4</v>
      </c>
      <c r="AJ46" s="106">
        <f t="shared" si="0"/>
        <v>6</v>
      </c>
    </row>
    <row r="47" spans="1:36" x14ac:dyDescent="0.2">
      <c r="A47" s="47" t="s">
        <v>45</v>
      </c>
      <c r="B47" s="158">
        <v>5</v>
      </c>
      <c r="C47" s="92">
        <v>7</v>
      </c>
      <c r="D47" s="91">
        <v>12</v>
      </c>
      <c r="E47" s="92">
        <v>3</v>
      </c>
      <c r="F47" s="92">
        <v>5</v>
      </c>
      <c r="G47" s="93">
        <v>8</v>
      </c>
      <c r="H47" s="46">
        <v>20</v>
      </c>
      <c r="I47" s="46"/>
      <c r="J47" s="94" t="s">
        <v>45</v>
      </c>
      <c r="K47" s="95">
        <f t="shared" ref="K47:Q47" si="20">K48+K49</f>
        <v>4</v>
      </c>
      <c r="L47" s="96">
        <f t="shared" si="20"/>
        <v>4</v>
      </c>
      <c r="M47" s="97">
        <f t="shared" si="20"/>
        <v>8</v>
      </c>
      <c r="N47" s="95">
        <f t="shared" si="20"/>
        <v>7</v>
      </c>
      <c r="O47" s="96">
        <f t="shared" si="20"/>
        <v>4</v>
      </c>
      <c r="P47" s="97">
        <f t="shared" si="20"/>
        <v>11</v>
      </c>
      <c r="Q47" s="99">
        <f t="shared" si="20"/>
        <v>19</v>
      </c>
      <c r="R47" s="46"/>
      <c r="T47" s="94" t="s">
        <v>45</v>
      </c>
      <c r="U47" s="95">
        <v>1</v>
      </c>
      <c r="V47" s="96">
        <v>1</v>
      </c>
      <c r="W47" s="97">
        <v>2</v>
      </c>
      <c r="X47" s="95">
        <v>3</v>
      </c>
      <c r="Y47" s="96">
        <v>1</v>
      </c>
      <c r="Z47" s="97">
        <v>4</v>
      </c>
      <c r="AA47" s="99">
        <v>6</v>
      </c>
      <c r="AC47" s="94" t="s">
        <v>45</v>
      </c>
      <c r="AD47" s="95">
        <f t="shared" ref="AD47:AI47" si="21">AD48+AD49</f>
        <v>1</v>
      </c>
      <c r="AE47" s="96">
        <f t="shared" si="21"/>
        <v>2</v>
      </c>
      <c r="AF47" s="97">
        <f t="shared" si="21"/>
        <v>3</v>
      </c>
      <c r="AG47" s="95">
        <f t="shared" si="21"/>
        <v>3</v>
      </c>
      <c r="AH47" s="96">
        <f t="shared" si="21"/>
        <v>1</v>
      </c>
      <c r="AI47" s="97">
        <f t="shared" si="21"/>
        <v>4</v>
      </c>
      <c r="AJ47" s="99">
        <f t="shared" si="0"/>
        <v>7</v>
      </c>
    </row>
    <row r="48" spans="1:36" x14ac:dyDescent="0.2">
      <c r="A48" s="53">
        <v>1</v>
      </c>
      <c r="B48" s="158">
        <v>3</v>
      </c>
      <c r="C48" s="92">
        <v>5</v>
      </c>
      <c r="D48" s="91">
        <v>8</v>
      </c>
      <c r="E48" s="92">
        <v>1</v>
      </c>
      <c r="F48" s="92">
        <v>1</v>
      </c>
      <c r="G48" s="93">
        <v>2</v>
      </c>
      <c r="H48" s="46">
        <v>10</v>
      </c>
      <c r="I48" s="46"/>
      <c r="J48" s="100">
        <v>1</v>
      </c>
      <c r="K48" s="162">
        <v>2</v>
      </c>
      <c r="L48" s="108">
        <v>1</v>
      </c>
      <c r="M48" s="103">
        <f>K48+L48</f>
        <v>3</v>
      </c>
      <c r="N48" s="162">
        <v>4</v>
      </c>
      <c r="O48" s="163">
        <v>3</v>
      </c>
      <c r="P48" s="103">
        <f>N48+O48</f>
        <v>7</v>
      </c>
      <c r="Q48" s="106">
        <f>M48+P48</f>
        <v>10</v>
      </c>
      <c r="R48" s="46"/>
      <c r="T48" s="100">
        <v>1</v>
      </c>
      <c r="U48" s="107">
        <v>1</v>
      </c>
      <c r="V48" s="102">
        <v>0</v>
      </c>
      <c r="W48" s="103">
        <v>1</v>
      </c>
      <c r="X48" s="107">
        <v>2</v>
      </c>
      <c r="Y48" s="132">
        <v>0</v>
      </c>
      <c r="Z48" s="103">
        <v>2</v>
      </c>
      <c r="AA48" s="106">
        <v>3</v>
      </c>
      <c r="AC48" s="100">
        <v>1</v>
      </c>
      <c r="AD48" s="107">
        <v>1</v>
      </c>
      <c r="AE48" s="108">
        <v>1</v>
      </c>
      <c r="AF48" s="103">
        <f>AD48+AE48</f>
        <v>2</v>
      </c>
      <c r="AG48" s="153">
        <v>2</v>
      </c>
      <c r="AH48" s="132">
        <v>0</v>
      </c>
      <c r="AI48" s="103">
        <f>AG48+AH48</f>
        <v>2</v>
      </c>
      <c r="AJ48" s="106">
        <f t="shared" si="0"/>
        <v>4</v>
      </c>
    </row>
    <row r="49" spans="1:36" ht="17" thickBot="1" x14ac:dyDescent="0.25">
      <c r="A49" s="53">
        <v>50</v>
      </c>
      <c r="B49" s="158">
        <v>2</v>
      </c>
      <c r="C49" s="92">
        <v>2</v>
      </c>
      <c r="D49" s="91">
        <v>4</v>
      </c>
      <c r="E49" s="92">
        <v>2</v>
      </c>
      <c r="F49" s="92">
        <v>4</v>
      </c>
      <c r="G49" s="93">
        <v>6</v>
      </c>
      <c r="H49" s="46">
        <v>10</v>
      </c>
      <c r="I49" s="46"/>
      <c r="J49" s="110">
        <v>50</v>
      </c>
      <c r="K49" s="165">
        <v>2</v>
      </c>
      <c r="L49" s="164">
        <v>3</v>
      </c>
      <c r="M49" s="103">
        <f>K49+L49</f>
        <v>5</v>
      </c>
      <c r="N49" s="165">
        <v>3</v>
      </c>
      <c r="O49" s="164">
        <v>1</v>
      </c>
      <c r="P49" s="103">
        <f>N49+O49</f>
        <v>4</v>
      </c>
      <c r="Q49" s="106">
        <f>M49+P49</f>
        <v>9</v>
      </c>
      <c r="R49" s="46"/>
      <c r="T49" s="110">
        <v>50</v>
      </c>
      <c r="U49" s="154">
        <v>0</v>
      </c>
      <c r="V49" s="116">
        <v>1</v>
      </c>
      <c r="W49" s="113">
        <v>1</v>
      </c>
      <c r="X49" s="115">
        <v>1</v>
      </c>
      <c r="Y49" s="116">
        <v>1</v>
      </c>
      <c r="Z49" s="112">
        <v>2</v>
      </c>
      <c r="AA49" s="114">
        <v>3</v>
      </c>
      <c r="AC49" s="110">
        <v>50</v>
      </c>
      <c r="AD49" s="154">
        <v>0</v>
      </c>
      <c r="AE49" s="116">
        <v>1</v>
      </c>
      <c r="AF49" s="113">
        <f>AD49+AE49</f>
        <v>1</v>
      </c>
      <c r="AG49" s="115">
        <v>1</v>
      </c>
      <c r="AH49" s="116">
        <v>1</v>
      </c>
      <c r="AI49" s="113">
        <f>AG49+AH49</f>
        <v>2</v>
      </c>
      <c r="AJ49" s="114">
        <f t="shared" si="0"/>
        <v>3</v>
      </c>
    </row>
    <row r="50" spans="1:36" ht="18" thickTop="1" thickBot="1" x14ac:dyDescent="0.25">
      <c r="A50" s="45" t="s">
        <v>365</v>
      </c>
      <c r="B50" s="159">
        <v>67</v>
      </c>
      <c r="C50" s="118">
        <v>59</v>
      </c>
      <c r="D50" s="117">
        <v>126</v>
      </c>
      <c r="E50" s="118">
        <v>56</v>
      </c>
      <c r="F50" s="118">
        <v>71</v>
      </c>
      <c r="G50" s="119">
        <v>127</v>
      </c>
      <c r="H50" s="46">
        <v>253</v>
      </c>
      <c r="I50" s="46"/>
      <c r="J50" s="120" t="s">
        <v>365</v>
      </c>
      <c r="K50" s="121">
        <f t="shared" ref="K50:P50" si="22">K8+K15+K22+K29+K36+K43</f>
        <v>54</v>
      </c>
      <c r="L50" s="121">
        <f t="shared" si="22"/>
        <v>58</v>
      </c>
      <c r="M50" s="121">
        <f t="shared" si="22"/>
        <v>112</v>
      </c>
      <c r="N50" s="121">
        <f t="shared" si="22"/>
        <v>57</v>
      </c>
      <c r="O50" s="121">
        <f t="shared" si="22"/>
        <v>50</v>
      </c>
      <c r="P50" s="121">
        <f t="shared" si="22"/>
        <v>107</v>
      </c>
      <c r="Q50" s="121">
        <f>Q8+Q15+Q22+Q29+Q36+Q43</f>
        <v>219</v>
      </c>
      <c r="R50" s="46"/>
      <c r="T50" s="120" t="s">
        <v>365</v>
      </c>
      <c r="U50" s="121">
        <v>22</v>
      </c>
      <c r="V50" s="121">
        <v>29</v>
      </c>
      <c r="W50" s="121">
        <v>51</v>
      </c>
      <c r="X50" s="121">
        <v>27</v>
      </c>
      <c r="Y50" s="121">
        <v>22</v>
      </c>
      <c r="Z50" s="121">
        <v>49</v>
      </c>
      <c r="AA50" s="121">
        <v>100</v>
      </c>
      <c r="AC50" s="120" t="s">
        <v>365</v>
      </c>
      <c r="AD50" s="121">
        <f>AD8+AD15+AD22+AD29+AD36+AD43</f>
        <v>26</v>
      </c>
      <c r="AE50" s="121">
        <f t="shared" ref="AE50:AF50" si="23">AE8+AE15+AE22+AE29+AE36+AE43</f>
        <v>33</v>
      </c>
      <c r="AF50" s="121">
        <f t="shared" si="23"/>
        <v>59</v>
      </c>
      <c r="AG50" s="121">
        <f>AG8+AG15+AG22+AG29+AG36+AG43</f>
        <v>29</v>
      </c>
      <c r="AH50" s="121">
        <f t="shared" ref="AH50:AI50" si="24">AH8+AH15+AH22+AH29+AH36+AH43</f>
        <v>28</v>
      </c>
      <c r="AI50" s="121">
        <f t="shared" si="24"/>
        <v>57</v>
      </c>
      <c r="AJ50" s="121">
        <f>AJ8+AJ15+AJ22+AJ29+AJ36+AJ43</f>
        <v>116</v>
      </c>
    </row>
    <row r="51" spans="1:36" x14ac:dyDescent="0.2">
      <c r="V51" s="166"/>
      <c r="Z51" s="166"/>
    </row>
    <row r="55" spans="1:36" x14ac:dyDescent="0.2">
      <c r="B55">
        <f>117+111</f>
        <v>228</v>
      </c>
      <c r="C55" t="s">
        <v>78</v>
      </c>
    </row>
    <row r="56" spans="1:36" x14ac:dyDescent="0.2">
      <c r="B56">
        <f>113+115</f>
        <v>228</v>
      </c>
      <c r="C56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data</vt:lpstr>
      <vt:lpstr>variable code book</vt:lpstr>
      <vt:lpstr>Table 3</vt:lpstr>
      <vt:lpstr>gender results, Table 4</vt:lpstr>
      <vt:lpstr>2 tasks</vt:lpstr>
      <vt:lpstr>treatments</vt:lpstr>
      <vt:lpstr>behaviour in 2 tasks</vt:lpstr>
      <vt:lpstr>justifications</vt:lpstr>
      <vt:lpstr>plan +116</vt:lpstr>
      <vt:lpstr>plan +100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Joanna Rachubik</cp:lastModifiedBy>
  <dcterms:created xsi:type="dcterms:W3CDTF">2017-09-18T13:16:40Z</dcterms:created>
  <dcterms:modified xsi:type="dcterms:W3CDTF">2018-04-11T13:57:38Z</dcterms:modified>
</cp:coreProperties>
</file>